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am\Downloads\"/>
    </mc:Choice>
  </mc:AlternateContent>
  <workbookProtection workbookAlgorithmName="SHA-512" workbookHashValue="tgVebT/Q8MGHAjg7gstkjyWssnGZAKFBelVTnMM5yFqbfetRk1Pgo69+GPXAgO1LZGf+Jmyq+Xr7klygckiZbw==" workbookSaltValue="5FjbEgHpBOaK7vcXFbhsMA==" workbookSpinCount="100000" lockStructure="1"/>
  <bookViews>
    <workbookView xWindow="0" yWindow="0" windowWidth="10470" windowHeight="5235" firstSheet="1" activeTab="1"/>
  </bookViews>
  <sheets>
    <sheet name="Tables" sheetId="4" state="hidden" r:id="rId1"/>
    <sheet name="TDF Calculator" sheetId="5" r:id="rId2"/>
  </sheets>
  <definedNames>
    <definedName name="AngleInput">'TDF Calculator'!$B$18</definedName>
    <definedName name="PAF">'TDF Calculator'!$B$25</definedName>
    <definedName name="PAFInput">Tables!$AI$9</definedName>
    <definedName name="PLF">'TDF Calculator'!$B$26</definedName>
    <definedName name="PLFInput">'TDF Calculator'!$B$19</definedName>
    <definedName name="PSF">'TDF Calculator'!$B$24</definedName>
    <definedName name="PSFInput">'TDF Calculator'!$B$16</definedName>
    <definedName name="TDF">'TDF Calculator'!$B$27</definedName>
    <definedName name="TDFInput">'TDF Calculator'!$B$20</definedName>
    <definedName name="ThroatInput">'TDF Calculator'!$B$17</definedName>
    <definedName name="TSF">'TDF Calculator'!$B$23</definedName>
    <definedName name="TSFInput">'TDF Calculator'!#REF!</definedName>
    <definedName name="UoM">Tables!$B$15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6" i="4" l="1"/>
  <c r="I14" i="4"/>
  <c r="I13" i="4"/>
  <c r="I12" i="4"/>
  <c r="I11" i="4"/>
  <c r="I10" i="4"/>
  <c r="I8" i="4"/>
  <c r="I7" i="4"/>
  <c r="I5" i="4"/>
  <c r="H3" i="4"/>
  <c r="I4" i="4"/>
  <c r="X4" i="4"/>
  <c r="B23" i="5" l="1"/>
  <c r="AI9" i="4"/>
  <c r="N4" i="4" l="1"/>
  <c r="N5" i="4"/>
  <c r="N6" i="4"/>
  <c r="N7" i="4"/>
  <c r="N8" i="4"/>
  <c r="N9" i="4"/>
  <c r="N10" i="4"/>
  <c r="N11" i="4"/>
  <c r="N3" i="4"/>
  <c r="D3" i="4"/>
  <c r="D4" i="4"/>
  <c r="D5" i="4"/>
  <c r="D6" i="4"/>
  <c r="D7" i="4"/>
  <c r="D8" i="4"/>
  <c r="D20" i="4"/>
  <c r="D21" i="4"/>
  <c r="D22" i="4"/>
  <c r="D23" i="4"/>
  <c r="D24" i="4"/>
  <c r="D25" i="4"/>
  <c r="C19" i="5" l="1"/>
  <c r="C17" i="5"/>
  <c r="C16" i="5"/>
  <c r="AK7" i="4"/>
  <c r="AK6" i="4"/>
  <c r="AK5" i="4"/>
  <c r="AK4" i="4"/>
  <c r="AK3" i="4"/>
  <c r="W3" i="4"/>
  <c r="W5" i="4"/>
  <c r="X8" i="4"/>
  <c r="W8" i="4" s="1"/>
  <c r="X7" i="4"/>
  <c r="W7" i="4" s="1"/>
  <c r="X6" i="4"/>
  <c r="W6" i="4" s="1"/>
  <c r="X5" i="4"/>
  <c r="W4" i="4"/>
  <c r="B4" i="4"/>
  <c r="B5" i="4"/>
  <c r="B6" i="4"/>
  <c r="B7" i="4"/>
  <c r="B8" i="4"/>
  <c r="B3" i="4"/>
  <c r="O11" i="4"/>
  <c r="O10" i="4"/>
  <c r="O9" i="4"/>
  <c r="O8" i="4"/>
  <c r="O7" i="4"/>
  <c r="O6" i="4"/>
  <c r="O5" i="4"/>
  <c r="O4" i="4"/>
  <c r="J3" i="4"/>
  <c r="I15" i="4"/>
  <c r="I9" i="4"/>
  <c r="I6" i="4"/>
  <c r="AL7" i="4" l="1"/>
  <c r="H9" i="4"/>
  <c r="H16" i="4"/>
  <c r="H15" i="4"/>
  <c r="H7" i="4"/>
  <c r="H4" i="4"/>
  <c r="H12" i="4"/>
  <c r="H10" i="4"/>
  <c r="H13" i="4"/>
  <c r="H8" i="4"/>
  <c r="H14" i="4"/>
  <c r="H6" i="4"/>
  <c r="H5" i="4"/>
  <c r="H11" i="4"/>
  <c r="B24" i="5" l="1"/>
  <c r="AM7" i="4"/>
  <c r="AO7" i="4" s="1"/>
  <c r="B25" i="5" l="1"/>
  <c r="B26" i="5" s="1"/>
  <c r="AL6" i="4"/>
  <c r="AM6" i="4" s="1"/>
  <c r="AO6" i="4" s="1"/>
  <c r="B27" i="5" l="1"/>
  <c r="AL5" i="4"/>
  <c r="AM5" i="4" s="1"/>
  <c r="AO5" i="4" s="1"/>
  <c r="C27" i="5" l="1"/>
  <c r="AL4" i="4"/>
  <c r="AM4" i="4" s="1"/>
  <c r="AO4" i="4" s="1"/>
  <c r="AL3" i="4" l="1"/>
  <c r="AM3" i="4" s="1"/>
  <c r="AO3" i="4" s="1"/>
</calcChain>
</file>

<file path=xl/sharedStrings.xml><?xml version="1.0" encoding="utf-8"?>
<sst xmlns="http://schemas.openxmlformats.org/spreadsheetml/2006/main" count="154" uniqueCount="112">
  <si>
    <t>Table Difficulty Factor (TDF) Calculator</t>
  </si>
  <si>
    <t>Pocket Size</t>
  </si>
  <si>
    <t>throat-mouth difference</t>
  </si>
  <si>
    <t>facing angle range</t>
  </si>
  <si>
    <t xml:space="preserve">&gt; 1 1/4" (32 mm)
</t>
  </si>
  <si>
    <t xml:space="preserve">≤ 1/4” (6mm)
</t>
  </si>
  <si>
    <t xml:space="preserve">&gt; 1/2" (13 mm)  and  ≤  5/8" (16 mm)
</t>
  </si>
  <si>
    <t xml:space="preserve">&gt; 5/8" (16 mm) and  ≤ 3/4" (19 mm)
</t>
  </si>
  <si>
    <t xml:space="preserve">&gt; 3/4" (19 mm)  and  ≤  7/8" (22 mm)
</t>
  </si>
  <si>
    <t xml:space="preserve">&gt; 7/8" (22 mm)  and  ≤  1" (25 mm)
</t>
  </si>
  <si>
    <t xml:space="preserve">&gt; 1" (25 mm)  and  ≤  1 1/4" (32 mm)
</t>
  </si>
  <si>
    <t>&lt; 137.0°  and  ≤ 138.6°</t>
  </si>
  <si>
    <t>&lt; 138.6°  and  ≤ 139.6°</t>
  </si>
  <si>
    <t>&lt; 139.6°  and  ≤ 140.7°</t>
  </si>
  <si>
    <t>&lt; 140.7°  and  ≤ 141.7°</t>
  </si>
  <si>
    <t>&lt; 141.7°  and  ≤ 142.6°</t>
  </si>
  <si>
    <t>&lt; 142.6°  and  ≤ 143.5°</t>
  </si>
  <si>
    <t>&lt; 143.5°  and  ≤ 145.3°</t>
  </si>
  <si>
    <t>&gt; 145.3°</t>
  </si>
  <si>
    <t>Table Size</t>
  </si>
  <si>
    <t xml:space="preserve">&gt; 1/4” (6mm)  and  ≤  3/8" (10 mm)
</t>
  </si>
  <si>
    <t xml:space="preserve">&gt; 3/8" (10 mm)  and  ≤  1/2" (13 mm)
</t>
  </si>
  <si>
    <t>&gt; 2” (51 mm)  and  ≤ 2 1/4” (57 mm)</t>
  </si>
  <si>
    <t>&gt; 2 1/4” (57 mm)</t>
  </si>
  <si>
    <t>≤ 1 1/4” (32 mm)</t>
  </si>
  <si>
    <t>&gt; 1 1/4” (32 mm)  and  ≤ 1 1/2” (38 mm)</t>
  </si>
  <si>
    <t>&gt; 1 1/2” (38 mm)  and  ≤ 1 3/4” (44 mm)</t>
  </si>
  <si>
    <t>&gt; 1 3/4” (44 mm)  and  ≤ 2” (51 mm)</t>
  </si>
  <si>
    <t>≤ 3 3/8“ (8.6 cm)</t>
  </si>
  <si>
    <t>&gt; 3 3/8” (8.6 cm)  and  ≤ 3 1/2” (8.9 cm)</t>
  </si>
  <si>
    <t>&gt; 3 1/2” (8.9 cm)  and  ≤ 3 5/8” (9.2 cm)</t>
  </si>
  <si>
    <t>&gt; 3 5/8” (9.2 cm)  and  ≤ 3 3/4” (9.5 cm)</t>
  </si>
  <si>
    <t>&gt; 3 3/4” (9.5 cm)  and  ≤  3 7/8” (9.8 cm)</t>
  </si>
  <si>
    <t>&gt; 3 7/8” (9.8 cm)  and  ≤  4” (10.2 cm)</t>
  </si>
  <si>
    <t>&gt; 4” (10.2 cm)  and  ≤  4 1/8” (10.5 cm)</t>
  </si>
  <si>
    <t>&gt; 4 1/8” (10.5 cm)  and  ≤  4 1/4” (10.8 cm)</t>
  </si>
  <si>
    <t>&gt; 4 1/4” (10.8 cm)  and  ≤  4 3/8” (11.1 cm)</t>
  </si>
  <si>
    <t>&gt; 4 3/8” (11.1 cm)  and  ≤  4 1/2” (11.4 cm)</t>
  </si>
  <si>
    <t>&gt; 4 1/2” (11.4 cm)  and  ≤  4 3/4” (12.1 cm)</t>
  </si>
  <si>
    <t>&gt; 4 3/4” (12.1 cm)  and  ≤  5” (12.7 cm)</t>
  </si>
  <si>
    <t>&gt; 5” (12.7 cm)  and  ≤  5 1/4” (13.3 cm)</t>
  </si>
  <si>
    <t>&gt; 5 1/4” (13.3 cm)</t>
  </si>
  <si>
    <t>Description</t>
  </si>
  <si>
    <t>Factor</t>
  </si>
  <si>
    <t>PSF&lt;=.9</t>
  </si>
  <si>
    <t>PSF&lt;1.1</t>
  </si>
  <si>
    <t>Else</t>
  </si>
  <si>
    <t>PSFPAF&gt;=1.1</t>
  </si>
  <si>
    <t>Difficulty</t>
  </si>
  <si>
    <t>Pocket Shelf</t>
  </si>
  <si>
    <t>Inches</t>
  </si>
  <si>
    <t>Cm</t>
  </si>
  <si>
    <t>Lookup</t>
  </si>
  <si>
    <t>Option Chosen:</t>
  </si>
  <si>
    <t>Slider %</t>
  </si>
  <si>
    <t>Min Factor</t>
  </si>
  <si>
    <t>Max Factor</t>
  </si>
  <si>
    <t>Factor Delta</t>
  </si>
  <si>
    <r>
      <t>≤ 137.0</t>
    </r>
    <r>
      <rPr>
        <sz val="12"/>
        <color theme="1"/>
        <rFont val="Calibri"/>
        <family val="2"/>
      </rPr>
      <t>°</t>
    </r>
  </si>
  <si>
    <t>Size</t>
  </si>
  <si>
    <t>Scale</t>
  </si>
  <si>
    <t>Fill</t>
  </si>
  <si>
    <t>Table Difficulty</t>
  </si>
  <si>
    <t>Input</t>
  </si>
  <si>
    <t>Units</t>
  </si>
  <si>
    <t>6 ft or 7 ft ("bar box")</t>
  </si>
  <si>
    <t>8 ft (home table)</t>
  </si>
  <si>
    <t>8 ft+ (pro 8)</t>
  </si>
  <si>
    <t>9 ft (regulation size)</t>
  </si>
  <si>
    <t>10 ft (oversized)</t>
  </si>
  <si>
    <t>12 ft (gigantic)</t>
  </si>
  <si>
    <t>Select Unit of Measure</t>
  </si>
  <si>
    <t>Enter Measurements</t>
  </si>
  <si>
    <t>Table Size:</t>
  </si>
  <si>
    <t>Too Easy</t>
  </si>
  <si>
    <t>Very Easy</t>
  </si>
  <si>
    <t>Easy</t>
  </si>
  <si>
    <t>Average</t>
  </si>
  <si>
    <t>Tough</t>
  </si>
  <si>
    <t>Very Tough</t>
  </si>
  <si>
    <t>Too Tough</t>
  </si>
  <si>
    <t>Type</t>
  </si>
  <si>
    <t>Results</t>
  </si>
  <si>
    <t>Quick Reference Guide:</t>
  </si>
  <si>
    <t>Raw Factor</t>
  </si>
  <si>
    <t>Shelf Depth:</t>
  </si>
  <si>
    <t>TDF (Rating)</t>
  </si>
  <si>
    <t>Select Table Size</t>
  </si>
  <si>
    <t>Drop Down</t>
  </si>
  <si>
    <t>Select Table Size…</t>
  </si>
  <si>
    <t>8 ft (Home Table)</t>
  </si>
  <si>
    <t>8 ft+ (Pro 8)</t>
  </si>
  <si>
    <t>10 ft (Oversized)</t>
  </si>
  <si>
    <t>12 ft (Gigantic)</t>
  </si>
  <si>
    <t>Mouth Size:</t>
  </si>
  <si>
    <t>Throat Size:</t>
  </si>
  <si>
    <t>Pocket Size:</t>
  </si>
  <si>
    <t>Pocket Angle:</t>
  </si>
  <si>
    <t>Pocket Shelf:</t>
  </si>
  <si>
    <t>Table</t>
  </si>
  <si>
    <t>Facing Angle:</t>
  </si>
  <si>
    <t>Degrees</t>
  </si>
  <si>
    <t>Angle</t>
  </si>
  <si>
    <t>Pocket Angle (difference)</t>
  </si>
  <si>
    <t>Mouth-Throat Diff or Angle</t>
  </si>
  <si>
    <t>Pocket Angle</t>
  </si>
  <si>
    <t>For more information, see the TDF Resource Page</t>
  </si>
  <si>
    <t>Spreadsheet Author: Adam Bishop</t>
  </si>
  <si>
    <t>Throat Size OR Facing Angle is required. NOT BOTH.</t>
  </si>
  <si>
    <t>9 ft (Standard Size)</t>
  </si>
  <si>
    <t>6 ft or 7 ft ("Bar Box")</t>
  </si>
  <si>
    <t>billiards.colostate.edu/faq/table/tdf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</si>
</sst>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0.000"/>
    <numFmt numFmtId="165" formatCode="0.0"/>
    <numFmt numFmtId="166" formatCode="_(* #,##0_);_(* \(#,##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i/>
      <sz val="11"/>
      <color rgb="FF7F7F7F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</font>
    <font>
      <sz val="12"/>
      <name val="Calibri"/>
      <family val="2"/>
      <scheme val="minor"/>
    </font>
    <font>
      <b/>
      <sz val="18"/>
      <color theme="0"/>
      <name val="Arial"/>
      <family val="2"/>
    </font>
    <font>
      <sz val="18"/>
      <color theme="3"/>
      <name val="Arial"/>
      <family val="2"/>
    </font>
    <font>
      <sz val="11"/>
      <color theme="1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b/>
      <sz val="14"/>
      <color theme="0"/>
      <name val="Arial"/>
      <family val="2"/>
    </font>
    <font>
      <i/>
      <sz val="14"/>
      <color rgb="FF7F7F7F"/>
      <name val="Calibri"/>
      <family val="2"/>
      <scheme val="minor"/>
    </font>
    <font>
      <sz val="8"/>
      <color rgb="FF000000"/>
      <name val="Segoe UI"/>
      <family val="2"/>
    </font>
    <font>
      <sz val="12"/>
      <color rgb="FFFF0000"/>
      <name val="Calibri"/>
      <family val="2"/>
      <scheme val="minor"/>
    </font>
    <font>
      <b/>
      <i/>
      <sz val="11"/>
      <color rgb="FF7F7F7F"/>
      <name val="Calibri"/>
      <family val="2"/>
      <scheme val="minor"/>
    </font>
    <font>
      <sz val="10"/>
      <color theme="1"/>
      <name val="Arial"/>
      <family val="2"/>
    </font>
    <font>
      <sz val="18"/>
      <color rgb="FF00B050"/>
      <name val="Cambria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rgb="FF115637"/>
        <bgColor indexed="64"/>
      </patternFill>
    </fill>
    <fill>
      <patternFill patternType="solid">
        <fgColor theme="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58">
    <xf numFmtId="0" fontId="0" fillId="0" borderId="0" xfId="0"/>
    <xf numFmtId="0" fontId="2" fillId="0" borderId="0" xfId="2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5" fillId="0" borderId="0" xfId="0" applyFont="1"/>
    <xf numFmtId="0" fontId="5" fillId="0" borderId="0" xfId="0" applyFont="1" applyAlignment="1">
      <alignment horizontal="center"/>
    </xf>
    <xf numFmtId="165" fontId="4" fillId="0" borderId="0" xfId="0" applyNumberFormat="1" applyFont="1" applyAlignment="1">
      <alignment horizontal="center"/>
    </xf>
    <xf numFmtId="2" fontId="4" fillId="0" borderId="0" xfId="1" applyNumberFormat="1" applyFont="1"/>
    <xf numFmtId="164" fontId="4" fillId="0" borderId="0" xfId="0" applyNumberFormat="1" applyFont="1" applyAlignment="1">
      <alignment horizontal="center"/>
    </xf>
    <xf numFmtId="2" fontId="4" fillId="0" borderId="0" xfId="1" applyNumberFormat="1" applyFont="1" applyAlignment="1">
      <alignment horizontal="center"/>
    </xf>
    <xf numFmtId="0" fontId="4" fillId="0" borderId="0" xfId="0" applyFont="1" applyAlignment="1"/>
    <xf numFmtId="2" fontId="4" fillId="0" borderId="0" xfId="0" applyNumberFormat="1" applyFont="1"/>
    <xf numFmtId="0" fontId="7" fillId="0" borderId="0" xfId="0" applyFont="1"/>
    <xf numFmtId="164" fontId="4" fillId="0" borderId="0" xfId="0" applyNumberFormat="1" applyFont="1" applyBorder="1" applyAlignment="1">
      <alignment horizontal="center"/>
    </xf>
    <xf numFmtId="0" fontId="4" fillId="0" borderId="0" xfId="0" applyFont="1" applyBorder="1"/>
    <xf numFmtId="2" fontId="4" fillId="0" borderId="0" xfId="1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2" fillId="0" borderId="0" xfId="2" applyAlignment="1">
      <alignment horizontal="center"/>
    </xf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0" fontId="4" fillId="0" borderId="1" xfId="0" applyFont="1" applyBorder="1"/>
    <xf numFmtId="0" fontId="4" fillId="0" borderId="1" xfId="1" applyNumberFormat="1" applyFont="1" applyBorder="1"/>
    <xf numFmtId="166" fontId="4" fillId="0" borderId="1" xfId="4" applyNumberFormat="1" applyFont="1" applyBorder="1"/>
    <xf numFmtId="2" fontId="4" fillId="0" borderId="1" xfId="0" applyNumberFormat="1" applyFont="1" applyBorder="1"/>
    <xf numFmtId="164" fontId="4" fillId="0" borderId="1" xfId="0" applyNumberFormat="1" applyFont="1" applyBorder="1"/>
    <xf numFmtId="2" fontId="16" fillId="0" borderId="0" xfId="0" applyNumberFormat="1" applyFont="1"/>
    <xf numFmtId="2" fontId="16" fillId="0" borderId="0" xfId="1" applyNumberFormat="1" applyFont="1"/>
    <xf numFmtId="0" fontId="10" fillId="0" borderId="0" xfId="0" applyFont="1" applyFill="1" applyProtection="1">
      <protection hidden="1"/>
    </xf>
    <xf numFmtId="0" fontId="10" fillId="0" borderId="0" xfId="0" applyFont="1" applyProtection="1">
      <protection hidden="1"/>
    </xf>
    <xf numFmtId="0" fontId="9" fillId="0" borderId="0" xfId="2" applyFont="1" applyProtection="1">
      <protection hidden="1"/>
    </xf>
    <xf numFmtId="0" fontId="13" fillId="2" borderId="1" xfId="0" applyFont="1" applyFill="1" applyBorder="1" applyProtection="1">
      <protection hidden="1"/>
    </xf>
    <xf numFmtId="0" fontId="13" fillId="2" borderId="1" xfId="0" applyFont="1" applyFill="1" applyBorder="1" applyAlignment="1" applyProtection="1">
      <alignment horizontal="left"/>
      <protection hidden="1"/>
    </xf>
    <xf numFmtId="0" fontId="0" fillId="0" borderId="0" xfId="0" applyProtection="1">
      <protection hidden="1"/>
    </xf>
    <xf numFmtId="0" fontId="11" fillId="0" borderId="1" xfId="0" applyFont="1" applyBorder="1" applyProtection="1">
      <protection locked="0" hidden="1"/>
    </xf>
    <xf numFmtId="0" fontId="11" fillId="0" borderId="1" xfId="0" applyFont="1" applyBorder="1" applyAlignment="1" applyProtection="1">
      <alignment horizontal="left"/>
      <protection hidden="1"/>
    </xf>
    <xf numFmtId="0" fontId="14" fillId="0" borderId="0" xfId="3" applyFont="1" applyProtection="1">
      <protection hidden="1"/>
    </xf>
    <xf numFmtId="0" fontId="11" fillId="0" borderId="1" xfId="0" applyFont="1" applyBorder="1" applyProtection="1">
      <protection hidden="1"/>
    </xf>
    <xf numFmtId="2" fontId="11" fillId="0" borderId="1" xfId="0" applyNumberFormat="1" applyFont="1" applyBorder="1" applyProtection="1">
      <protection locked="0" hidden="1"/>
    </xf>
    <xf numFmtId="2" fontId="11" fillId="0" borderId="1" xfId="0" applyNumberFormat="1" applyFont="1" applyBorder="1" applyProtection="1">
      <protection hidden="1"/>
    </xf>
    <xf numFmtId="0" fontId="12" fillId="3" borderId="0" xfId="0" applyFont="1" applyFill="1" applyProtection="1">
      <protection hidden="1"/>
    </xf>
    <xf numFmtId="2" fontId="12" fillId="3" borderId="0" xfId="0" applyNumberFormat="1" applyFont="1" applyFill="1" applyProtection="1">
      <protection hidden="1"/>
    </xf>
    <xf numFmtId="0" fontId="11" fillId="0" borderId="0" xfId="0" applyFont="1" applyAlignment="1" applyProtection="1">
      <alignment horizontal="center" vertical="center"/>
      <protection hidden="1"/>
    </xf>
    <xf numFmtId="0" fontId="18" fillId="0" borderId="0" xfId="0" applyFont="1" applyAlignment="1" applyProtection="1">
      <alignment horizontal="center"/>
      <protection hidden="1"/>
    </xf>
    <xf numFmtId="0" fontId="17" fillId="0" borderId="0" xfId="3" applyFont="1" applyBorder="1" applyAlignment="1" applyProtection="1">
      <alignment vertical="center" wrapText="1"/>
      <protection hidden="1"/>
    </xf>
    <xf numFmtId="165" fontId="11" fillId="0" borderId="1" xfId="0" applyNumberFormat="1" applyFont="1" applyBorder="1" applyProtection="1">
      <protection locked="0" hidden="1"/>
    </xf>
    <xf numFmtId="2" fontId="12" fillId="3" borderId="0" xfId="0" applyNumberFormat="1" applyFont="1" applyFill="1" applyAlignment="1" applyProtection="1">
      <alignment horizontal="left" indent="1"/>
      <protection hidden="1"/>
    </xf>
    <xf numFmtId="0" fontId="4" fillId="0" borderId="0" xfId="0" applyFont="1" applyFill="1"/>
    <xf numFmtId="0" fontId="4" fillId="0" borderId="2" xfId="0" applyFont="1" applyFill="1" applyBorder="1"/>
    <xf numFmtId="0" fontId="17" fillId="0" borderId="3" xfId="3" applyFont="1" applyBorder="1" applyAlignment="1" applyProtection="1">
      <alignment horizontal="center" vertical="center" wrapText="1"/>
      <protection hidden="1"/>
    </xf>
    <xf numFmtId="0" fontId="8" fillId="2" borderId="0" xfId="0" applyFont="1" applyFill="1" applyAlignment="1" applyProtection="1">
      <alignment horizontal="center" vertical="center"/>
      <protection hidden="1"/>
    </xf>
    <xf numFmtId="0" fontId="10" fillId="0" borderId="0" xfId="0" quotePrefix="1" applyFont="1" applyProtection="1">
      <protection hidden="1"/>
    </xf>
    <xf numFmtId="2" fontId="11" fillId="0" borderId="1" xfId="0" applyNumberFormat="1" applyFont="1" applyFill="1" applyBorder="1" applyProtection="1">
      <protection hidden="1"/>
    </xf>
    <xf numFmtId="0" fontId="19" fillId="0" borderId="0" xfId="2" applyFont="1"/>
    <xf numFmtId="43" fontId="4" fillId="0" borderId="0" xfId="4" applyFont="1"/>
    <xf numFmtId="0" fontId="10" fillId="0" borderId="0" xfId="0" quotePrefix="1" applyFont="1" applyAlignment="1" applyProtection="1">
      <protection hidden="1"/>
    </xf>
  </cellXfs>
  <cellStyles count="5">
    <cellStyle name="Comma" xfId="4" builtinId="3"/>
    <cellStyle name="Explanatory Text" xfId="3" builtinId="53"/>
    <cellStyle name="Normal" xfId="0" builtinId="0"/>
    <cellStyle name="Percent" xfId="1" builtinId="5"/>
    <cellStyle name="Title" xfId="2" builtinId="15"/>
  </cellStyles>
  <dxfs count="5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0.00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</dxf>
    <dxf>
      <font>
        <strike val="0"/>
        <outline val="0"/>
        <shadow val="0"/>
        <u val="none"/>
        <vertAlign val="baseline"/>
        <sz val="12"/>
      </font>
    </dxf>
    <dxf>
      <fill>
        <patternFill>
          <bgColor rgb="FFFFFFCC"/>
        </patternFill>
      </fill>
    </dxf>
    <dxf>
      <fill>
        <patternFill>
          <fgColor rgb="FFFFFFCC"/>
          <bgColor rgb="FFFFFFCC"/>
        </patternFill>
      </fill>
    </dxf>
    <dxf>
      <fill>
        <patternFill patternType="lightUp"/>
      </fill>
    </dxf>
    <dxf>
      <fill>
        <patternFill patternType="lightUp"/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</dxf>
    <dxf>
      <font>
        <strike val="0"/>
        <outline val="0"/>
        <shadow val="0"/>
        <u val="none"/>
        <vertAlign val="baseline"/>
        <sz val="12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</dxf>
    <dxf>
      <font>
        <strike val="0"/>
        <outline val="0"/>
        <shadow val="0"/>
        <u val="none"/>
        <vertAlign val="baseline"/>
        <sz val="12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0.00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0.00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</font>
    </dxf>
    <dxf>
      <font>
        <strike val="0"/>
        <outline val="0"/>
        <shadow val="0"/>
        <u val="none"/>
        <vertAlign val="baseline"/>
        <sz val="12"/>
      </font>
      <numFmt numFmtId="2" formatCode="0.00"/>
    </dxf>
    <dxf>
      <font>
        <strike val="0"/>
        <outline val="0"/>
        <shadow val="0"/>
        <u val="none"/>
        <vertAlign val="baseline"/>
        <sz val="12"/>
      </font>
    </dxf>
    <dxf>
      <font>
        <strike val="0"/>
        <outline val="0"/>
        <shadow val="0"/>
        <u val="none"/>
        <vertAlign val="baseline"/>
        <sz val="1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</font>
    </dxf>
    <dxf>
      <font>
        <strike val="0"/>
        <outline val="0"/>
        <shadow val="0"/>
        <u val="none"/>
        <vertAlign val="baseline"/>
        <sz val="1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</dxf>
    <dxf>
      <font>
        <strike val="0"/>
        <outline val="0"/>
        <shadow val="0"/>
        <u val="none"/>
        <vertAlign val="baseline"/>
        <sz val="12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</dxf>
    <dxf>
      <font>
        <strike val="0"/>
        <outline val="0"/>
        <shadow val="0"/>
        <u val="none"/>
        <vertAlign val="baseline"/>
        <sz val="12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0.00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0.00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0.00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0.00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0.000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</dxf>
    <dxf>
      <font>
        <strike val="0"/>
        <outline val="0"/>
        <shadow val="0"/>
        <u val="none"/>
        <vertAlign val="baseline"/>
        <sz val="1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5" formatCode="0.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</dxf>
  </dxfs>
  <tableStyles count="0" defaultTableStyle="TableStyleMedium2" defaultPivotStyle="PivotStyleLight16"/>
  <colors>
    <mruColors>
      <color rgb="FFFFFFCC"/>
      <color rgb="FF11563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Table Difficulty Overview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spPr>
            <a:gradFill flip="none" rotWithShape="1">
              <a:gsLst>
                <a:gs pos="0">
                  <a:srgbClr val="00B050"/>
                </a:gs>
                <a:gs pos="60000">
                  <a:srgbClr val="FFFF00"/>
                </a:gs>
                <a:gs pos="40000">
                  <a:srgbClr val="FFFF00"/>
                </a:gs>
                <a:gs pos="100000">
                  <a:srgbClr val="FF0000"/>
                </a:gs>
              </a:gsLst>
              <a:lin ang="0" scaled="1"/>
              <a:tileRect/>
            </a:gradFill>
            <a:ln>
              <a:noFill/>
            </a:ln>
            <a:effectLst/>
          </c:spPr>
          <c:invertIfNegative val="0"/>
          <c:cat>
            <c:strRef>
              <c:f>Tables!$AH$3:$AH$7</c:f>
              <c:strCache>
                <c:ptCount val="5"/>
                <c:pt idx="0">
                  <c:v>Table Difficulty</c:v>
                </c:pt>
                <c:pt idx="1">
                  <c:v>Pocket Shelf</c:v>
                </c:pt>
                <c:pt idx="2">
                  <c:v>Pocket Angle</c:v>
                </c:pt>
                <c:pt idx="3">
                  <c:v>Pocket Size</c:v>
                </c:pt>
                <c:pt idx="4">
                  <c:v>Table Size</c:v>
                </c:pt>
              </c:strCache>
            </c:strRef>
          </c:cat>
          <c:val>
            <c:numRef>
              <c:f>Tables!$AN$3:$AN$7</c:f>
              <c:numCache>
                <c:formatCode>General</c:formatCode>
                <c:ptCount val="5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A34-44FE-9EB9-ECD4F98653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20222512"/>
        <c:axId val="419730672"/>
      </c:barChart>
      <c:barChart>
        <c:barDir val="bar"/>
        <c:grouping val="stacked"/>
        <c:varyColors val="0"/>
        <c:ser>
          <c:idx val="1"/>
          <c:order val="1"/>
          <c:spPr>
            <a:noFill/>
            <a:ln>
              <a:noFill/>
            </a:ln>
            <a:effectLst/>
          </c:spPr>
          <c:invertIfNegative val="0"/>
          <c:cat>
            <c:strRef>
              <c:f>Tables!$AH$3:$AH$7</c:f>
              <c:strCache>
                <c:ptCount val="5"/>
                <c:pt idx="0">
                  <c:v>Table Difficulty</c:v>
                </c:pt>
                <c:pt idx="1">
                  <c:v>Pocket Shelf</c:v>
                </c:pt>
                <c:pt idx="2">
                  <c:v>Pocket Angle</c:v>
                </c:pt>
                <c:pt idx="3">
                  <c:v>Pocket Size</c:v>
                </c:pt>
                <c:pt idx="4">
                  <c:v>Table Size</c:v>
                </c:pt>
              </c:strCache>
            </c:strRef>
          </c:cat>
          <c:val>
            <c:numRef>
              <c:f>Tables!$AO$3:$AO$7</c:f>
              <c:numCache>
                <c:formatCode>_(* #,##0_);_(* \(#,##0\);_(* "-"??_);_(@_)</c:formatCode>
                <c:ptCount val="5"/>
                <c:pt idx="0">
                  <c:v>-4</c:v>
                </c:pt>
                <c:pt idx="1">
                  <c:v>-4</c:v>
                </c:pt>
                <c:pt idx="2">
                  <c:v>-4</c:v>
                </c:pt>
                <c:pt idx="3">
                  <c:v>-4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CA34-44FE-9EB9-ECD4F986536F}"/>
            </c:ext>
          </c:extLst>
        </c:ser>
        <c:ser>
          <c:idx val="2"/>
          <c:order val="2"/>
          <c:spPr>
            <a:solidFill>
              <a:schemeClr val="tx1">
                <a:alpha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Tables!$AH$3:$AH$7</c:f>
              <c:strCache>
                <c:ptCount val="5"/>
                <c:pt idx="0">
                  <c:v>Table Difficulty</c:v>
                </c:pt>
                <c:pt idx="1">
                  <c:v>Pocket Shelf</c:v>
                </c:pt>
                <c:pt idx="2">
                  <c:v>Pocket Angle</c:v>
                </c:pt>
                <c:pt idx="3">
                  <c:v>Pocket Size</c:v>
                </c:pt>
                <c:pt idx="4">
                  <c:v>Table Size</c:v>
                </c:pt>
              </c:strCache>
            </c:strRef>
          </c:cat>
          <c:val>
            <c:numRef>
              <c:f>Tables!$AP$3:$AP$7</c:f>
              <c:numCache>
                <c:formatCode>General</c:formatCode>
                <c:ptCount val="5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CA34-44FE-9EB9-ECD4F98653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19728320"/>
        <c:axId val="419731456"/>
      </c:barChart>
      <c:catAx>
        <c:axId val="42022251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9730672"/>
        <c:crosses val="autoZero"/>
        <c:auto val="1"/>
        <c:lblAlgn val="ctr"/>
        <c:lblOffset val="100"/>
        <c:noMultiLvlLbl val="0"/>
      </c:catAx>
      <c:valAx>
        <c:axId val="419730672"/>
        <c:scaling>
          <c:orientation val="minMax"/>
          <c:max val="105"/>
          <c:min val="-5"/>
        </c:scaling>
        <c:delete val="1"/>
        <c:axPos val="b"/>
        <c:numFmt formatCode="General" sourceLinked="1"/>
        <c:majorTickMark val="none"/>
        <c:minorTickMark val="none"/>
        <c:tickLblPos val="nextTo"/>
        <c:crossAx val="420222512"/>
        <c:crosses val="autoZero"/>
        <c:crossBetween val="between"/>
      </c:valAx>
      <c:valAx>
        <c:axId val="419731456"/>
        <c:scaling>
          <c:orientation val="minMax"/>
          <c:max val="105"/>
          <c:min val="-5"/>
        </c:scaling>
        <c:delete val="1"/>
        <c:axPos val="t"/>
        <c:numFmt formatCode="_(* #,##0_);_(* \(#,##0\);_(* &quot;-&quot;??_);_(@_)" sourceLinked="1"/>
        <c:majorTickMark val="out"/>
        <c:minorTickMark val="none"/>
        <c:tickLblPos val="nextTo"/>
        <c:crossAx val="419728320"/>
        <c:crosses val="max"/>
        <c:crossBetween val="between"/>
      </c:valAx>
      <c:catAx>
        <c:axId val="41972832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41973145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Radio" checked="Checked" firstButton="1" fmlaLink="Tables!$B$15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GBox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28</xdr:row>
      <xdr:rowOff>1587</xdr:rowOff>
    </xdr:from>
    <xdr:to>
      <xdr:col>4</xdr:col>
      <xdr:colOff>0</xdr:colOff>
      <xdr:row>41</xdr:row>
      <xdr:rowOff>7938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5</xdr:col>
      <xdr:colOff>14043</xdr:colOff>
      <xdr:row>14</xdr:row>
      <xdr:rowOff>50800</xdr:rowOff>
    </xdr:from>
    <xdr:to>
      <xdr:col>9</xdr:col>
      <xdr:colOff>234704</xdr:colOff>
      <xdr:row>24</xdr:row>
      <xdr:rowOff>163512</xdr:rowOff>
    </xdr:to>
    <xdr:pic>
      <xdr:nvPicPr>
        <xdr:cNvPr id="6" name="Picture 5" descr="pocket measurements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55981" y="2392363"/>
          <a:ext cx="2665411" cy="2439987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285750</xdr:colOff>
          <xdr:row>3</xdr:row>
          <xdr:rowOff>84259</xdr:rowOff>
        </xdr:from>
        <xdr:to>
          <xdr:col>2</xdr:col>
          <xdr:colOff>321653</xdr:colOff>
          <xdr:row>8</xdr:row>
          <xdr:rowOff>40298</xdr:rowOff>
        </xdr:to>
        <xdr:grpSp>
          <xdr:nvGrpSpPr>
            <xdr:cNvPr id="3" name="Group 2">
              <a:extLst>
                <a:ext uri="{FF2B5EF4-FFF2-40B4-BE49-F238E27FC236}">
                  <a16:creationId xmlns:a16="http://schemas.microsoft.com/office/drawing/2014/main" xmlns="" id="{00000000-0008-0000-0100-000003000000}"/>
                </a:ext>
              </a:extLst>
            </xdr:cNvPr>
            <xdr:cNvGrpSpPr/>
          </xdr:nvGrpSpPr>
          <xdr:grpSpPr>
            <a:xfrm>
              <a:off x="285750" y="1112959"/>
              <a:ext cx="2588603" cy="860914"/>
              <a:chOff x="3785087" y="2000243"/>
              <a:chExt cx="1970210" cy="908539"/>
            </a:xfrm>
          </xdr:grpSpPr>
          <xdr:sp macro="" textlink="">
            <xdr:nvSpPr>
              <xdr:cNvPr id="5121" name="Option Button 1" hidden="1">
                <a:extLst>
                  <a:ext uri="{63B3BB69-23CF-44E3-9099-C40C66FF867C}">
                    <a14:compatExt spid="_x0000_s5121"/>
                  </a:ext>
                  <a:ext uri="{FF2B5EF4-FFF2-40B4-BE49-F238E27FC236}">
                    <a16:creationId xmlns:a16="http://schemas.microsoft.com/office/drawing/2014/main" xmlns="" id="{00000000-0008-0000-0100-000001140000}"/>
                  </a:ext>
                </a:extLst>
              </xdr:cNvPr>
              <xdr:cNvSpPr/>
            </xdr:nvSpPr>
            <xdr:spPr bwMode="auto">
              <a:xfrm>
                <a:off x="4007093" y="2066924"/>
                <a:ext cx="1748204" cy="4095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Inches</a:t>
                </a:r>
              </a:p>
            </xdr:txBody>
          </xdr:sp>
          <xdr:sp macro="" textlink="">
            <xdr:nvSpPr>
              <xdr:cNvPr id="5122" name="Option Button 2" hidden="1">
                <a:extLst>
                  <a:ext uri="{63B3BB69-23CF-44E3-9099-C40C66FF867C}">
                    <a14:compatExt spid="_x0000_s5122"/>
                  </a:ext>
                  <a:ext uri="{FF2B5EF4-FFF2-40B4-BE49-F238E27FC236}">
                    <a16:creationId xmlns:a16="http://schemas.microsoft.com/office/drawing/2014/main" xmlns="" id="{00000000-0008-0000-0100-000002140000}"/>
                  </a:ext>
                </a:extLst>
              </xdr:cNvPr>
              <xdr:cNvSpPr/>
            </xdr:nvSpPr>
            <xdr:spPr bwMode="auto">
              <a:xfrm>
                <a:off x="4007094" y="2486024"/>
                <a:ext cx="1651973" cy="3714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Centimeters</a:t>
                </a:r>
              </a:p>
            </xdr:txBody>
          </xdr:sp>
          <xdr:sp macro="" textlink="">
            <xdr:nvSpPr>
              <xdr:cNvPr id="5124" name="Group Box 4" hidden="1">
                <a:extLst>
                  <a:ext uri="{63B3BB69-23CF-44E3-9099-C40C66FF867C}">
                    <a14:compatExt spid="_x0000_s5124"/>
                  </a:ext>
                  <a:ext uri="{FF2B5EF4-FFF2-40B4-BE49-F238E27FC236}">
                    <a16:creationId xmlns:a16="http://schemas.microsoft.com/office/drawing/2014/main" xmlns="" id="{00000000-0008-0000-0100-000004140000}"/>
                  </a:ext>
                </a:extLst>
              </xdr:cNvPr>
              <xdr:cNvSpPr/>
            </xdr:nvSpPr>
            <xdr:spPr bwMode="auto">
              <a:xfrm>
                <a:off x="3785087" y="2000243"/>
                <a:ext cx="1504950" cy="908539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  <a:extLst>
                <a:ext uri="{909E8E84-426E-40DD-AFC4-6F175D3DCCD1}">
                  <a14:hiddenFill>
                    <a:noFill/>
                  </a14:hiddenFill>
                </a:ext>
              </a:extLst>
            </xdr:spPr>
            <xdr:txBody>
              <a:bodyPr vertOverflow="clip" wrap="none" lIns="27432" tIns="18288" rIns="0" bIns="0" anchor="t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Units</a:t>
                </a:r>
              </a:p>
            </xdr:txBody>
          </xdr:sp>
        </xdr:grpSp>
        <xdr:clientData/>
      </xdr:twoCellAnchor>
    </mc:Choice>
    <mc:Fallback/>
  </mc:AlternateContent>
</xdr:wsDr>
</file>

<file path=xl/tables/table1.xml><?xml version="1.0" encoding="utf-8"?>
<table xmlns="http://schemas.openxmlformats.org/spreadsheetml/2006/main" id="1" name="TableSizeTable" displayName="TableSizeTable" ref="B2:F8" totalsRowShown="0" headerRowDxfId="55" dataDxfId="54">
  <autoFilter ref="B2:F8"/>
  <tableColumns count="5">
    <tableColumn id="1" name="Lookup" dataDxfId="53">
      <calculatedColumnFormula>IF(UoM=1,TableSizeTable[[#This Row],[Inches]],TableSizeTable[[#This Row],[Cm]])</calculatedColumnFormula>
    </tableColumn>
    <tableColumn id="4" name="Inches" dataDxfId="52"/>
    <tableColumn id="5" name="Cm" dataDxfId="51">
      <calculatedColumnFormula>CONVERT(TableSizeTable[[#This Row],[Inches]],"in","m")*100</calculatedColumnFormula>
    </tableColumn>
    <tableColumn id="2" name="Description" dataDxfId="50"/>
    <tableColumn id="3" name="Factor" dataDxfId="49" dataCellStyle="Percent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PocketSizeTable" displayName="PocketSizeTable" ref="H2:L16" totalsRowShown="0" headerRowDxfId="48" dataDxfId="47">
  <autoFilter ref="H2:L16"/>
  <tableColumns count="5">
    <tableColumn id="5" name="Lookup" dataDxfId="46">
      <calculatedColumnFormula>IF(UoM=1,PocketSizeTable[[#This Row],[Inches]],PocketSizeTable[[#This Row],[Cm]])</calculatedColumnFormula>
    </tableColumn>
    <tableColumn id="1" name="Inches" dataDxfId="45"/>
    <tableColumn id="4" name="Cm" dataDxfId="44">
      <calculatedColumnFormula>CONVERT(PocketSizeTable[[#This Row],[Inches]],"in","m")*100</calculatedColumnFormula>
    </tableColumn>
    <tableColumn id="2" name="Description" dataDxfId="43"/>
    <tableColumn id="3" name="Factor" dataDxfId="42" dataCellStyle="Percent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3" name="PocketAngleTable" displayName="PocketAngleTable" ref="N2:U11" totalsRowShown="0" headerRowDxfId="41" dataDxfId="40">
  <autoFilter ref="N2:U11"/>
  <tableColumns count="8">
    <tableColumn id="1" name="Lookup" dataDxfId="39">
      <calculatedColumnFormula>IF(ThroatInput&lt;&gt;"",IF(UoM=1,PocketAngleTable[[#This Row],[Inches]],PocketAngleTable[[#This Row],[Cm]]),PocketAngleTable[[#This Row],[facing angle range]])</calculatedColumnFormula>
    </tableColumn>
    <tableColumn id="8" name="Inches" dataDxfId="38"/>
    <tableColumn id="7" name="Cm" dataDxfId="37">
      <calculatedColumnFormula>CONVERT(PocketAngleTable[[#This Row],[Inches]],"in","m")*100</calculatedColumnFormula>
    </tableColumn>
    <tableColumn id="2" name="throat-mouth difference" dataDxfId="36"/>
    <tableColumn id="6" name="facing angle range" dataDxfId="35"/>
    <tableColumn id="3" name="PSF&lt;=.9" dataDxfId="34" dataCellStyle="Percent"/>
    <tableColumn id="4" name="PSF&lt;1.1" dataDxfId="33"/>
    <tableColumn id="5" name="Else" dataDxfId="32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4" name="PocketShelfTable" displayName="PocketShelfTable" ref="W2:AC8" totalsRowShown="0" headerRowDxfId="31" dataDxfId="30">
  <autoFilter ref="W2:AC8"/>
  <tableColumns count="7">
    <tableColumn id="1" name="Lookup" dataDxfId="29">
      <calculatedColumnFormula>IF(UoM=1,PocketShelfTable[[#This Row],[Inches]],PocketShelfTable[[#This Row],[Cm]])</calculatedColumnFormula>
    </tableColumn>
    <tableColumn id="6" name="Inches" dataDxfId="28"/>
    <tableColumn id="7" name="Cm" dataDxfId="0">
      <calculatedColumnFormula>CONVERT(PocketShelfTable[[#This Row],[Inches]],"in","m")*100</calculatedColumnFormula>
    </tableColumn>
    <tableColumn id="2" name="Description" dataDxfId="4"/>
    <tableColumn id="3" name="PSFPAF&gt;=1.1" dataDxfId="3" dataCellStyle="Percent"/>
    <tableColumn id="4" name="PSF&lt;=.9" dataDxfId="2"/>
    <tableColumn id="5" name="Else" dataDxfId="1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5" name="DifficultyTable" displayName="DifficultyTable" ref="AE2:AF9" totalsRowShown="0" headerRowDxfId="27" dataDxfId="26">
  <autoFilter ref="AE2:AF9"/>
  <tableColumns count="2">
    <tableColumn id="1" name="Factor" dataDxfId="25"/>
    <tableColumn id="2" name="Difficulty" dataDxfId="24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6" name="DropDownTable" displayName="DropDownTable" ref="B18:E25" totalsRowShown="0" headerRowDxfId="23">
  <autoFilter ref="B18:E25"/>
  <tableColumns count="4">
    <tableColumn id="1" name="Drop Down" dataDxfId="22"/>
    <tableColumn id="2" name="Inches" dataDxfId="21"/>
    <tableColumn id="3" name="Cm" dataDxfId="20">
      <calculatedColumnFormula>CONVERT(C19,"in","m")*100</calculatedColumnFormula>
    </tableColumn>
    <tableColumn id="4" name="Factor" dataDxfId="19" dataCellStyle="Comma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8" name="PocketAngleTable9" displayName="PocketAngleTable9" ref="N17:U26" totalsRowShown="0" headerRowDxfId="18" dataDxfId="17">
  <autoFilter ref="N17:U26"/>
  <tableColumns count="8">
    <tableColumn id="1" name="Degrees" dataDxfId="16">
      <calculatedColumnFormula>IF(UoM=1,PocketAngleTable9[[#This Row],[Inches]],PocketAngleTable9[[#This Row],[Cm]])</calculatedColumnFormula>
    </tableColumn>
    <tableColumn id="8" name="Inches" dataDxfId="15"/>
    <tableColumn id="7" name="Cm" dataDxfId="14"/>
    <tableColumn id="2" name="throat-mouth difference" dataDxfId="13"/>
    <tableColumn id="6" name="facing angle range" dataDxfId="12"/>
    <tableColumn id="3" name="PSF&lt;=.9" dataDxfId="11" dataCellStyle="Percent"/>
    <tableColumn id="4" name="PSF&lt;1.1" dataDxfId="10"/>
    <tableColumn id="5" name="Else" dataDxfId="9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26"/>
  <sheetViews>
    <sheetView topLeftCell="Y1" zoomScale="120" zoomScaleNormal="120" workbookViewId="0">
      <selection activeCell="X17" sqref="X17"/>
    </sheetView>
  </sheetViews>
  <sheetFormatPr defaultRowHeight="15.75" x14ac:dyDescent="0.25"/>
  <cols>
    <col min="1" max="1" width="11.42578125" style="2" bestFit="1" customWidth="1"/>
    <col min="2" max="2" width="19.140625" style="2" customWidth="1"/>
    <col min="3" max="3" width="9.42578125" style="2" bestFit="1" customWidth="1"/>
    <col min="4" max="4" width="6.28515625" style="2" bestFit="1" customWidth="1"/>
    <col min="5" max="5" width="21.140625" style="2" bestFit="1" customWidth="1"/>
    <col min="6" max="6" width="9.42578125" style="2" bestFit="1" customWidth="1"/>
    <col min="7" max="7" width="3.140625" style="2" customWidth="1"/>
    <col min="8" max="8" width="12.28515625" style="2" bestFit="1" customWidth="1"/>
    <col min="9" max="9" width="9.42578125" style="2" bestFit="1" customWidth="1"/>
    <col min="10" max="10" width="7.7109375" style="2" bestFit="1" customWidth="1"/>
    <col min="11" max="11" width="42.140625" style="2" bestFit="1" customWidth="1"/>
    <col min="12" max="12" width="11.7109375" style="3" bestFit="1" customWidth="1"/>
    <col min="13" max="13" width="2.28515625" style="2" customWidth="1"/>
    <col min="14" max="14" width="14.140625" style="2" bestFit="1" customWidth="1"/>
    <col min="15" max="15" width="9.42578125" style="2" bestFit="1" customWidth="1"/>
    <col min="16" max="16" width="6.28515625" style="2" bestFit="1" customWidth="1"/>
    <col min="17" max="17" width="36.140625" style="2" bestFit="1" customWidth="1"/>
    <col min="18" max="18" width="22.28515625" style="2" bestFit="1" customWidth="1"/>
    <col min="19" max="20" width="13" style="2" bestFit="1" customWidth="1"/>
    <col min="21" max="21" width="9.28515625" style="2" bestFit="1" customWidth="1"/>
    <col min="22" max="22" width="3.140625" style="2" customWidth="1"/>
    <col min="23" max="23" width="10.5703125" style="2" bestFit="1" customWidth="1"/>
    <col min="24" max="24" width="9.42578125" style="2" bestFit="1" customWidth="1"/>
    <col min="25" max="25" width="6.28515625" style="2" bestFit="1" customWidth="1"/>
    <col min="26" max="26" width="39.42578125" style="2" bestFit="1" customWidth="1"/>
    <col min="27" max="27" width="15.7109375" style="2" bestFit="1" customWidth="1"/>
    <col min="28" max="28" width="10.7109375" style="2" bestFit="1" customWidth="1"/>
    <col min="29" max="29" width="7" style="2" bestFit="1" customWidth="1"/>
    <col min="30" max="30" width="2.7109375" style="2" customWidth="1"/>
    <col min="31" max="31" width="9.42578125" style="2" bestFit="1" customWidth="1"/>
    <col min="32" max="32" width="12.140625" style="2" bestFit="1" customWidth="1"/>
    <col min="33" max="33" width="2.140625" style="2" customWidth="1"/>
    <col min="34" max="34" width="26.5703125" style="2" bestFit="1" customWidth="1"/>
    <col min="35" max="35" width="11.5703125" style="2" bestFit="1" customWidth="1"/>
    <col min="36" max="36" width="11.85546875" style="2" bestFit="1" customWidth="1"/>
    <col min="37" max="37" width="12.85546875" style="2" bestFit="1" customWidth="1"/>
    <col min="38" max="38" width="7.140625" style="2" bestFit="1" customWidth="1"/>
    <col min="39" max="39" width="8.85546875" style="2" bestFit="1" customWidth="1"/>
    <col min="40" max="40" width="8.85546875" style="2" customWidth="1"/>
    <col min="41" max="41" width="9" style="2" bestFit="1" customWidth="1"/>
    <col min="42" max="42" width="5.5703125" style="2" bestFit="1" customWidth="1"/>
    <col min="43" max="43" width="11.85546875" style="2" bestFit="1" customWidth="1"/>
    <col min="44" max="16384" width="9.140625" style="2"/>
  </cols>
  <sheetData>
    <row r="1" spans="1:43" s="1" customFormat="1" ht="22.5" x14ac:dyDescent="0.3">
      <c r="A1"/>
      <c r="B1" s="55" t="s">
        <v>19</v>
      </c>
      <c r="H1" s="55" t="s">
        <v>1</v>
      </c>
      <c r="L1" s="20"/>
      <c r="N1" s="55" t="s">
        <v>103</v>
      </c>
      <c r="S1" s="20">
        <v>6</v>
      </c>
      <c r="T1" s="20">
        <v>7</v>
      </c>
      <c r="U1" s="20">
        <v>8</v>
      </c>
      <c r="W1" s="55" t="s">
        <v>49</v>
      </c>
      <c r="AA1" s="20">
        <v>5</v>
      </c>
      <c r="AB1" s="20">
        <v>6</v>
      </c>
      <c r="AC1" s="20">
        <v>7</v>
      </c>
    </row>
    <row r="2" spans="1:43" x14ac:dyDescent="0.25">
      <c r="A2"/>
      <c r="B2" s="4" t="s">
        <v>52</v>
      </c>
      <c r="C2" s="4" t="s">
        <v>50</v>
      </c>
      <c r="D2" s="4" t="s">
        <v>51</v>
      </c>
      <c r="E2" s="2" t="s">
        <v>42</v>
      </c>
      <c r="F2" s="2" t="s">
        <v>43</v>
      </c>
      <c r="H2" s="4" t="s">
        <v>52</v>
      </c>
      <c r="I2" s="4" t="s">
        <v>50</v>
      </c>
      <c r="J2" s="4" t="s">
        <v>51</v>
      </c>
      <c r="K2" s="2" t="s">
        <v>42</v>
      </c>
      <c r="L2" s="3" t="s">
        <v>43</v>
      </c>
      <c r="N2" s="5" t="s">
        <v>52</v>
      </c>
      <c r="O2" s="5" t="s">
        <v>50</v>
      </c>
      <c r="P2" s="5" t="s">
        <v>51</v>
      </c>
      <c r="Q2" s="6" t="s">
        <v>2</v>
      </c>
      <c r="R2" s="6" t="s">
        <v>3</v>
      </c>
      <c r="S2" s="7" t="s">
        <v>44</v>
      </c>
      <c r="T2" s="7" t="s">
        <v>45</v>
      </c>
      <c r="U2" s="7" t="s">
        <v>46</v>
      </c>
      <c r="W2" s="5" t="s">
        <v>52</v>
      </c>
      <c r="X2" s="5" t="s">
        <v>50</v>
      </c>
      <c r="Y2" s="5" t="s">
        <v>51</v>
      </c>
      <c r="Z2" s="2" t="s">
        <v>42</v>
      </c>
      <c r="AA2" s="2" t="s">
        <v>47</v>
      </c>
      <c r="AB2" s="2" t="s">
        <v>44</v>
      </c>
      <c r="AC2" s="2" t="s">
        <v>46</v>
      </c>
      <c r="AE2" s="2" t="s">
        <v>43</v>
      </c>
      <c r="AF2" s="2" t="s">
        <v>48</v>
      </c>
      <c r="AH2" s="21"/>
      <c r="AI2" s="22" t="s">
        <v>55</v>
      </c>
      <c r="AJ2" s="22" t="s">
        <v>56</v>
      </c>
      <c r="AK2" s="22" t="s">
        <v>57</v>
      </c>
      <c r="AL2" s="22" t="s">
        <v>43</v>
      </c>
      <c r="AM2" s="22" t="s">
        <v>54</v>
      </c>
      <c r="AN2" s="22" t="s">
        <v>60</v>
      </c>
      <c r="AO2" s="22" t="s">
        <v>61</v>
      </c>
      <c r="AP2" s="22" t="s">
        <v>59</v>
      </c>
      <c r="AQ2" s="21" t="s">
        <v>84</v>
      </c>
    </row>
    <row r="3" spans="1:43" x14ac:dyDescent="0.25">
      <c r="A3"/>
      <c r="B3" s="3">
        <f>IF(UoM=1,TableSizeTable[[#This Row],[Inches]],TableSizeTable[[#This Row],[Cm]])</f>
        <v>0</v>
      </c>
      <c r="C3" s="3">
        <v>0</v>
      </c>
      <c r="D3" s="8">
        <f>CONVERT(TableSizeTable[[#This Row],[Inches]],"in","m")*100</f>
        <v>0</v>
      </c>
      <c r="E3" s="2" t="s">
        <v>65</v>
      </c>
      <c r="F3" s="9">
        <v>0.85</v>
      </c>
      <c r="H3" s="10">
        <f>IF(UoM=1,PocketSizeTable[[#This Row],[Inches]],PocketSizeTable[[#This Row],[Cm]])</f>
        <v>0</v>
      </c>
      <c r="I3" s="10">
        <v>0</v>
      </c>
      <c r="J3" s="10">
        <f>CONVERT(PocketSizeTable[[#This Row],[Inches]],"in","m")*100</f>
        <v>0</v>
      </c>
      <c r="K3" s="2" t="s">
        <v>28</v>
      </c>
      <c r="L3" s="11">
        <v>1.55</v>
      </c>
      <c r="N3" s="3">
        <f>IF(ThroatInput&lt;&gt;"",IF(UoM=1,PocketAngleTable[[#This Row],[Inches]],PocketAngleTable[[#This Row],[Cm]]),PocketAngleTable[[#This Row],[facing angle range]])</f>
        <v>0</v>
      </c>
      <c r="O3" s="10">
        <v>0</v>
      </c>
      <c r="P3" s="10">
        <v>0</v>
      </c>
      <c r="Q3" s="12" t="s">
        <v>5</v>
      </c>
      <c r="R3" s="2">
        <v>0</v>
      </c>
      <c r="S3" s="9">
        <v>0.94</v>
      </c>
      <c r="T3" s="13">
        <v>0.95</v>
      </c>
      <c r="U3" s="13">
        <v>0.97</v>
      </c>
      <c r="W3" s="3">
        <f>IF(UoM=1,PocketShelfTable[[#This Row],[Inches]],PocketShelfTable[[#This Row],[Cm]])</f>
        <v>0</v>
      </c>
      <c r="X3" s="3">
        <v>0</v>
      </c>
      <c r="Y3" s="10">
        <v>0</v>
      </c>
      <c r="Z3" s="2" t="s">
        <v>24</v>
      </c>
      <c r="AA3" s="9">
        <v>0.98</v>
      </c>
      <c r="AB3" s="13">
        <v>0.93</v>
      </c>
      <c r="AC3" s="13">
        <v>0.95</v>
      </c>
      <c r="AE3" s="13">
        <v>0</v>
      </c>
      <c r="AF3" s="2" t="s">
        <v>74</v>
      </c>
      <c r="AH3" s="21" t="s">
        <v>62</v>
      </c>
      <c r="AI3" s="26">
        <v>0.7</v>
      </c>
      <c r="AJ3" s="26">
        <v>1.3</v>
      </c>
      <c r="AK3" s="26">
        <f>AJ3-AI3</f>
        <v>0.60000000000000009</v>
      </c>
      <c r="AL3" s="27">
        <f>IF(TDF&gt;AJ3,AJ3,TDF)</f>
        <v>1.3</v>
      </c>
      <c r="AM3" s="25">
        <f>IF(TDF="",0,((AL3-AI3)/AK3)*100)</f>
        <v>0</v>
      </c>
      <c r="AN3" s="24">
        <v>100</v>
      </c>
      <c r="AO3" s="25">
        <f>AM3-AP3</f>
        <v>-4</v>
      </c>
      <c r="AP3" s="23">
        <v>4</v>
      </c>
      <c r="AQ3" s="23"/>
    </row>
    <row r="4" spans="1:43" x14ac:dyDescent="0.25">
      <c r="A4"/>
      <c r="B4" s="3">
        <f>IF(UoM=1,TableSizeTable[[#This Row],[Inches]],TableSizeTable[[#This Row],[Cm]])</f>
        <v>44</v>
      </c>
      <c r="C4" s="3">
        <v>44</v>
      </c>
      <c r="D4" s="8">
        <f>CONVERT(TableSizeTable[[#This Row],[Inches]],"in","m")*100</f>
        <v>111.75999999999999</v>
      </c>
      <c r="E4" s="2" t="s">
        <v>66</v>
      </c>
      <c r="F4" s="9">
        <v>0.9</v>
      </c>
      <c r="H4" s="10">
        <f>IF(UoM=1,PocketSizeTable[[#This Row],[Inches]],PocketSizeTable[[#This Row],[Cm]])</f>
        <v>3.3759999999999999</v>
      </c>
      <c r="I4" s="10">
        <f>3+(3/8)+0.001</f>
        <v>3.3759999999999999</v>
      </c>
      <c r="J4" s="10">
        <v>8.6010000000000009</v>
      </c>
      <c r="K4" s="2" t="s">
        <v>29</v>
      </c>
      <c r="L4" s="11">
        <v>1.46</v>
      </c>
      <c r="N4" s="3">
        <f>IF(ThroatInput&lt;&gt;"",IF(UoM=1,PocketAngleTable[[#This Row],[Inches]],PocketAngleTable[[#This Row],[Cm]]),PocketAngleTable[[#This Row],[facing angle range]])</f>
        <v>137.1</v>
      </c>
      <c r="O4" s="10">
        <f>0.25+0.001</f>
        <v>0.251</v>
      </c>
      <c r="P4" s="10">
        <v>0.60099999999999998</v>
      </c>
      <c r="Q4" s="12" t="s">
        <v>20</v>
      </c>
      <c r="R4" s="2">
        <v>137.1</v>
      </c>
      <c r="S4" s="9">
        <v>0.96</v>
      </c>
      <c r="T4" s="13">
        <v>0.97</v>
      </c>
      <c r="U4" s="13">
        <v>0.98</v>
      </c>
      <c r="W4" s="3">
        <f>IF(UoM=1,PocketShelfTable[[#This Row],[Inches]],PocketShelfTable[[#This Row],[Cm]])</f>
        <v>1.2509999999999999</v>
      </c>
      <c r="X4" s="3">
        <f>1.25+0.001</f>
        <v>1.2509999999999999</v>
      </c>
      <c r="Y4" s="10">
        <v>3.2010000000000001</v>
      </c>
      <c r="Z4" s="2" t="s">
        <v>25</v>
      </c>
      <c r="AA4" s="9">
        <v>0.99</v>
      </c>
      <c r="AB4" s="13">
        <v>0.97</v>
      </c>
      <c r="AC4" s="13">
        <v>0.98</v>
      </c>
      <c r="AE4" s="13">
        <v>0.7</v>
      </c>
      <c r="AF4" s="2" t="s">
        <v>75</v>
      </c>
      <c r="AH4" s="21" t="s">
        <v>49</v>
      </c>
      <c r="AI4" s="26">
        <v>0.85</v>
      </c>
      <c r="AJ4" s="26">
        <v>1.1499999999999999</v>
      </c>
      <c r="AK4" s="26">
        <f>AJ4-AI4</f>
        <v>0.29999999999999993</v>
      </c>
      <c r="AL4" s="27" t="str">
        <f>PLF</f>
        <v/>
      </c>
      <c r="AM4" s="25">
        <f>IF(PLFInput="",0,((AL4-AI4)/AK4)*100)</f>
        <v>0</v>
      </c>
      <c r="AN4" s="24">
        <v>100</v>
      </c>
      <c r="AO4" s="25">
        <f t="shared" ref="AO4:AO6" si="0">AM4-AP4</f>
        <v>-4</v>
      </c>
      <c r="AP4" s="23">
        <v>4</v>
      </c>
      <c r="AQ4" s="23"/>
    </row>
    <row r="5" spans="1:43" x14ac:dyDescent="0.25">
      <c r="A5"/>
      <c r="B5" s="3">
        <f>IF(UoM=1,TableSizeTable[[#This Row],[Inches]],TableSizeTable[[#This Row],[Cm]])</f>
        <v>46</v>
      </c>
      <c r="C5" s="3">
        <v>46</v>
      </c>
      <c r="D5" s="8">
        <f>CONVERT(TableSizeTable[[#This Row],[Inches]],"in","m")*100</f>
        <v>116.84</v>
      </c>
      <c r="E5" s="2" t="s">
        <v>67</v>
      </c>
      <c r="F5" s="9">
        <v>0.95</v>
      </c>
      <c r="H5" s="10">
        <f>IF(UoM=1,PocketSizeTable[[#This Row],[Inches]],PocketSizeTable[[#This Row],[Cm]])</f>
        <v>3.5009999999999999</v>
      </c>
      <c r="I5" s="10">
        <f>3+(1/2)+0.001</f>
        <v>3.5009999999999999</v>
      </c>
      <c r="J5" s="10">
        <v>8.9009999999999998</v>
      </c>
      <c r="K5" s="2" t="s">
        <v>30</v>
      </c>
      <c r="L5" s="11">
        <v>1.38</v>
      </c>
      <c r="N5" s="3">
        <f>IF(ThroatInput&lt;&gt;"",IF(UoM=1,PocketAngleTable[[#This Row],[Inches]],PocketAngleTable[[#This Row],[Cm]]),PocketAngleTable[[#This Row],[facing angle range]])</f>
        <v>138.69999999999999</v>
      </c>
      <c r="O5" s="10">
        <f>(3/8)+0.001</f>
        <v>0.376</v>
      </c>
      <c r="P5" s="10">
        <v>1.0009999999999999</v>
      </c>
      <c r="Q5" s="12" t="s">
        <v>21</v>
      </c>
      <c r="R5" s="2">
        <v>138.69999999999999</v>
      </c>
      <c r="S5" s="9">
        <v>0.98</v>
      </c>
      <c r="T5" s="13">
        <v>0.98</v>
      </c>
      <c r="U5" s="13">
        <v>0.99</v>
      </c>
      <c r="W5" s="3">
        <f>IF(UoM=1,PocketShelfTable[[#This Row],[Inches]],PocketShelfTable[[#This Row],[Cm]])</f>
        <v>1.5009999999999999</v>
      </c>
      <c r="X5" s="3">
        <f>1.5+0.001</f>
        <v>1.5009999999999999</v>
      </c>
      <c r="Y5" s="10">
        <v>3.8010000000000002</v>
      </c>
      <c r="Z5" s="2" t="s">
        <v>26</v>
      </c>
      <c r="AA5" s="9">
        <v>1</v>
      </c>
      <c r="AB5" s="13">
        <v>1</v>
      </c>
      <c r="AC5" s="13">
        <v>1</v>
      </c>
      <c r="AE5" s="13">
        <v>0.85</v>
      </c>
      <c r="AF5" s="2" t="s">
        <v>76</v>
      </c>
      <c r="AH5" s="21" t="s">
        <v>105</v>
      </c>
      <c r="AI5" s="26">
        <v>0.8</v>
      </c>
      <c r="AJ5" s="26">
        <v>1.2</v>
      </c>
      <c r="AK5" s="26">
        <f>AJ5-AI5</f>
        <v>0.39999999999999991</v>
      </c>
      <c r="AL5" s="27" t="str">
        <f>PAF</f>
        <v/>
      </c>
      <c r="AM5" s="25">
        <f>IF(PAFInput="",0,((AL5-AI5)/AK5)*100)</f>
        <v>0</v>
      </c>
      <c r="AN5" s="24">
        <v>100</v>
      </c>
      <c r="AO5" s="25">
        <f t="shared" si="0"/>
        <v>-4</v>
      </c>
      <c r="AP5" s="23">
        <v>4</v>
      </c>
      <c r="AQ5" s="23"/>
    </row>
    <row r="6" spans="1:43" x14ac:dyDescent="0.25">
      <c r="A6"/>
      <c r="B6" s="3">
        <f>IF(UoM=1,TableSizeTable[[#This Row],[Inches]],TableSizeTable[[#This Row],[Cm]])</f>
        <v>50</v>
      </c>
      <c r="C6" s="3">
        <v>50</v>
      </c>
      <c r="D6" s="8">
        <f>CONVERT(TableSizeTable[[#This Row],[Inches]],"in","m")*100</f>
        <v>127</v>
      </c>
      <c r="E6" s="2" t="s">
        <v>68</v>
      </c>
      <c r="F6" s="9">
        <v>1</v>
      </c>
      <c r="H6" s="10">
        <f>IF(UoM=1,PocketSizeTable[[#This Row],[Inches]],PocketSizeTable[[#This Row],[Cm]])</f>
        <v>3.6259999999999999</v>
      </c>
      <c r="I6" s="10">
        <f>3+(5/8)+0.001</f>
        <v>3.6259999999999999</v>
      </c>
      <c r="J6" s="10">
        <v>9.2010000000000005</v>
      </c>
      <c r="K6" s="2" t="s">
        <v>31</v>
      </c>
      <c r="L6" s="11">
        <v>1.31</v>
      </c>
      <c r="N6" s="3">
        <f>IF(ThroatInput&lt;&gt;"",IF(UoM=1,PocketAngleTable[[#This Row],[Inches]],PocketAngleTable[[#This Row],[Cm]]),PocketAngleTable[[#This Row],[facing angle range]])</f>
        <v>139.69999999999999</v>
      </c>
      <c r="O6" s="10">
        <f>0.5+0.001</f>
        <v>0.501</v>
      </c>
      <c r="P6" s="10">
        <v>1.3009999999999999</v>
      </c>
      <c r="Q6" s="12" t="s">
        <v>6</v>
      </c>
      <c r="R6" s="2">
        <v>139.69999999999999</v>
      </c>
      <c r="S6" s="9">
        <v>1</v>
      </c>
      <c r="T6" s="13">
        <v>1</v>
      </c>
      <c r="U6" s="13">
        <v>1</v>
      </c>
      <c r="W6" s="3">
        <f>IF(UoM=1,PocketShelfTable[[#This Row],[Inches]],PocketShelfTable[[#This Row],[Cm]])</f>
        <v>1.7509999999999999</v>
      </c>
      <c r="X6" s="3">
        <f>1.75+0.001</f>
        <v>1.7509999999999999</v>
      </c>
      <c r="Y6" s="10">
        <v>4.4009999999999998</v>
      </c>
      <c r="Z6" s="2" t="s">
        <v>27</v>
      </c>
      <c r="AA6" s="9">
        <v>1.03</v>
      </c>
      <c r="AB6" s="13">
        <v>1.01</v>
      </c>
      <c r="AC6" s="13">
        <v>1.03</v>
      </c>
      <c r="AE6" s="13">
        <v>0.95</v>
      </c>
      <c r="AF6" s="2" t="s">
        <v>77</v>
      </c>
      <c r="AH6" s="21" t="s">
        <v>1</v>
      </c>
      <c r="AI6" s="26">
        <v>0.45</v>
      </c>
      <c r="AJ6" s="26">
        <v>1.55</v>
      </c>
      <c r="AK6" s="26">
        <f>AJ6-AI6</f>
        <v>1.1000000000000001</v>
      </c>
      <c r="AL6" s="27" t="str">
        <f>PSF</f>
        <v/>
      </c>
      <c r="AM6" s="25">
        <f>IF(PSFInput="",0,((AL6-AI6)/AK6)*100)</f>
        <v>0</v>
      </c>
      <c r="AN6" s="24">
        <v>100</v>
      </c>
      <c r="AO6" s="25">
        <f t="shared" si="0"/>
        <v>-4</v>
      </c>
      <c r="AP6" s="23">
        <v>4</v>
      </c>
      <c r="AQ6" s="23"/>
    </row>
    <row r="7" spans="1:43" x14ac:dyDescent="0.25">
      <c r="A7"/>
      <c r="B7" s="3">
        <f>IF(UoM=1,TableSizeTable[[#This Row],[Inches]],TableSizeTable[[#This Row],[Cm]])</f>
        <v>56</v>
      </c>
      <c r="C7" s="3">
        <v>56</v>
      </c>
      <c r="D7" s="8">
        <f>CONVERT(TableSizeTable[[#This Row],[Inches]],"in","m")*100</f>
        <v>142.24</v>
      </c>
      <c r="E7" s="2" t="s">
        <v>69</v>
      </c>
      <c r="F7" s="9">
        <v>1.1000000000000001</v>
      </c>
      <c r="G7" s="14"/>
      <c r="H7" s="10">
        <f>IF(UoM=1,PocketSizeTable[[#This Row],[Inches]],PocketSizeTable[[#This Row],[Cm]])</f>
        <v>3.7509999999999999</v>
      </c>
      <c r="I7" s="10">
        <f>3+(3/4)+0.001</f>
        <v>3.7509999999999999</v>
      </c>
      <c r="J7" s="10">
        <v>9.5009999999999994</v>
      </c>
      <c r="K7" s="2" t="s">
        <v>32</v>
      </c>
      <c r="L7" s="11">
        <v>1.25</v>
      </c>
      <c r="N7" s="3">
        <f>IF(ThroatInput&lt;&gt;"",IF(UoM=1,PocketAngleTable[[#This Row],[Inches]],PocketAngleTable[[#This Row],[Cm]]),PocketAngleTable[[#This Row],[facing angle range]])</f>
        <v>140.80000000000001</v>
      </c>
      <c r="O7" s="10">
        <f>(5/8)+0.001</f>
        <v>0.626</v>
      </c>
      <c r="P7" s="10">
        <v>1.601</v>
      </c>
      <c r="Q7" s="12" t="s">
        <v>7</v>
      </c>
      <c r="R7" s="2">
        <v>140.80000000000001</v>
      </c>
      <c r="S7" s="9">
        <v>1.01</v>
      </c>
      <c r="T7" s="13">
        <v>1.02</v>
      </c>
      <c r="U7" s="13">
        <v>1.02</v>
      </c>
      <c r="W7" s="3">
        <f>IF(UoM=1,PocketShelfTable[[#This Row],[Inches]],PocketShelfTable[[#This Row],[Cm]])</f>
        <v>2.0009999999999999</v>
      </c>
      <c r="X7" s="3">
        <f>2+0.001</f>
        <v>2.0009999999999999</v>
      </c>
      <c r="Y7" s="10">
        <v>5.101</v>
      </c>
      <c r="Z7" s="2" t="s">
        <v>22</v>
      </c>
      <c r="AA7" s="9">
        <v>1.07</v>
      </c>
      <c r="AB7" s="13">
        <v>1.03</v>
      </c>
      <c r="AC7" s="13">
        <v>1.05</v>
      </c>
      <c r="AE7" s="13">
        <v>1.05</v>
      </c>
      <c r="AF7" s="2" t="s">
        <v>78</v>
      </c>
      <c r="AH7" s="21" t="s">
        <v>19</v>
      </c>
      <c r="AI7" s="26">
        <v>0.75</v>
      </c>
      <c r="AJ7" s="26">
        <v>1.25</v>
      </c>
      <c r="AK7" s="26">
        <f>AJ7-AI7</f>
        <v>0.5</v>
      </c>
      <c r="AL7" s="27" t="str">
        <f>TSF</f>
        <v/>
      </c>
      <c r="AM7" s="25" t="e">
        <f t="shared" ref="AM7" si="1">((AL7-AI7)/AK7)*100</f>
        <v>#VALUE!</v>
      </c>
      <c r="AN7" s="24">
        <v>100</v>
      </c>
      <c r="AO7" s="25" t="e">
        <f>AM7-AP7</f>
        <v>#VALUE!</v>
      </c>
      <c r="AP7" s="23">
        <v>4</v>
      </c>
      <c r="AQ7" s="23"/>
    </row>
    <row r="8" spans="1:43" x14ac:dyDescent="0.25">
      <c r="A8"/>
      <c r="B8" s="3">
        <f>IF(UoM=1,TableSizeTable[[#This Row],[Inches]],TableSizeTable[[#This Row],[Cm]])</f>
        <v>70</v>
      </c>
      <c r="C8" s="3">
        <v>70</v>
      </c>
      <c r="D8" s="8">
        <f>CONVERT(TableSizeTable[[#This Row],[Inches]],"in","m")*100</f>
        <v>177.8</v>
      </c>
      <c r="E8" s="2" t="s">
        <v>70</v>
      </c>
      <c r="F8" s="9">
        <v>1.25</v>
      </c>
      <c r="G8" s="6"/>
      <c r="H8" s="10">
        <f>IF(UoM=1,PocketSizeTable[[#This Row],[Inches]],PocketSizeTable[[#This Row],[Cm]])</f>
        <v>3.8759999999999999</v>
      </c>
      <c r="I8" s="10">
        <f>3+(7/8)+0.001</f>
        <v>3.8759999999999999</v>
      </c>
      <c r="J8" s="15">
        <v>9.8010000000000002</v>
      </c>
      <c r="K8" s="16" t="s">
        <v>33</v>
      </c>
      <c r="L8" s="17">
        <v>1.2</v>
      </c>
      <c r="N8" s="3">
        <f>IF(ThroatInput&lt;&gt;"",IF(UoM=1,PocketAngleTable[[#This Row],[Inches]],PocketAngleTable[[#This Row],[Cm]]),PocketAngleTable[[#This Row],[facing angle range]])</f>
        <v>141.80000000000001</v>
      </c>
      <c r="O8" s="10">
        <f>0.75+0.001</f>
        <v>0.751</v>
      </c>
      <c r="P8" s="10">
        <v>1.901</v>
      </c>
      <c r="Q8" s="12" t="s">
        <v>8</v>
      </c>
      <c r="R8" s="2">
        <v>141.80000000000001</v>
      </c>
      <c r="S8" s="9">
        <v>1.03</v>
      </c>
      <c r="T8" s="13">
        <v>1.04</v>
      </c>
      <c r="U8" s="13">
        <v>1.05</v>
      </c>
      <c r="W8" s="3">
        <f>IF(UoM=1,PocketShelfTable[[#This Row],[Inches]],PocketShelfTable[[#This Row],[Cm]])</f>
        <v>2.2509999999999999</v>
      </c>
      <c r="X8" s="3">
        <f>2.25+0.001</f>
        <v>2.2509999999999999</v>
      </c>
      <c r="Y8" s="10">
        <v>5.7009999999999996</v>
      </c>
      <c r="Z8" s="2" t="s">
        <v>23</v>
      </c>
      <c r="AA8" s="9">
        <v>1.1499999999999999</v>
      </c>
      <c r="AB8" s="13">
        <v>1.07</v>
      </c>
      <c r="AC8" s="13">
        <v>1.1000000000000001</v>
      </c>
      <c r="AE8" s="13">
        <v>1.1499999999999999</v>
      </c>
      <c r="AF8" s="2" t="s">
        <v>79</v>
      </c>
    </row>
    <row r="9" spans="1:43" x14ac:dyDescent="0.25">
      <c r="H9" s="10">
        <f>IF(UoM=1,PocketSizeTable[[#This Row],[Inches]],PocketSizeTable[[#This Row],[Cm]])</f>
        <v>4.0010000000000003</v>
      </c>
      <c r="I9" s="10">
        <f>4+0.001</f>
        <v>4.0010000000000003</v>
      </c>
      <c r="J9" s="15">
        <v>10.201000000000001</v>
      </c>
      <c r="K9" s="16" t="s">
        <v>34</v>
      </c>
      <c r="L9" s="17">
        <v>1.1499999999999999</v>
      </c>
      <c r="N9" s="3">
        <f>IF(ThroatInput&lt;&gt;"",IF(UoM=1,PocketAngleTable[[#This Row],[Inches]],PocketAngleTable[[#This Row],[Cm]]),PocketAngleTable[[#This Row],[facing angle range]])</f>
        <v>142.69999999999999</v>
      </c>
      <c r="O9" s="10">
        <f>(7/8)+0.001</f>
        <v>0.876</v>
      </c>
      <c r="P9" s="10">
        <v>2.2010000000000001</v>
      </c>
      <c r="Q9" s="12" t="s">
        <v>9</v>
      </c>
      <c r="R9" s="2">
        <v>142.69999999999999</v>
      </c>
      <c r="S9" s="9">
        <v>1.05</v>
      </c>
      <c r="T9" s="28">
        <v>1.07</v>
      </c>
      <c r="U9" s="13">
        <v>1.0900000000000001</v>
      </c>
      <c r="AE9" s="13">
        <v>1.3</v>
      </c>
      <c r="AF9" s="2" t="s">
        <v>80</v>
      </c>
      <c r="AH9" s="2" t="s">
        <v>104</v>
      </c>
      <c r="AI9" s="2" t="str">
        <f>IF(AND(ThroatInput="",AngleInput=""),"",IF(ThroatInput&lt;&gt;"",PSFInput-ThroatInput,AngleInput))</f>
        <v/>
      </c>
    </row>
    <row r="10" spans="1:43" x14ac:dyDescent="0.25">
      <c r="H10" s="10">
        <f>IF(UoM=1,PocketSizeTable[[#This Row],[Inches]],PocketSizeTable[[#This Row],[Cm]])</f>
        <v>4.1260000000000003</v>
      </c>
      <c r="I10" s="10">
        <f>4+(1/8)+0.001</f>
        <v>4.1260000000000003</v>
      </c>
      <c r="J10" s="15">
        <v>10.500999999999999</v>
      </c>
      <c r="K10" s="16" t="s">
        <v>35</v>
      </c>
      <c r="L10" s="17">
        <v>1.1000000000000001</v>
      </c>
      <c r="N10" s="3">
        <f>IF(ThroatInput&lt;&gt;"",IF(UoM=1,PocketAngleTable[[#This Row],[Inches]],PocketAngleTable[[#This Row],[Cm]]),PocketAngleTable[[#This Row],[facing angle range]])</f>
        <v>143.6</v>
      </c>
      <c r="O10" s="10">
        <f>1+0.001</f>
        <v>1.0009999999999999</v>
      </c>
      <c r="P10" s="10">
        <v>2.5009999999999999</v>
      </c>
      <c r="Q10" s="12" t="s">
        <v>10</v>
      </c>
      <c r="R10" s="2">
        <v>143.6</v>
      </c>
      <c r="S10" s="29">
        <v>1.07</v>
      </c>
      <c r="T10" s="13">
        <v>1.1000000000000001</v>
      </c>
      <c r="U10" s="13">
        <v>1.1399999999999999</v>
      </c>
    </row>
    <row r="11" spans="1:43" x14ac:dyDescent="0.25">
      <c r="H11" s="10">
        <f>IF(UoM=1,PocketSizeTable[[#This Row],[Inches]],PocketSizeTable[[#This Row],[Cm]])</f>
        <v>4.2510000000000003</v>
      </c>
      <c r="I11" s="10">
        <f>4+(1/4)+0.001</f>
        <v>4.2510000000000003</v>
      </c>
      <c r="J11" s="15">
        <v>10.801</v>
      </c>
      <c r="K11" s="16" t="s">
        <v>36</v>
      </c>
      <c r="L11" s="17">
        <v>1.05</v>
      </c>
      <c r="N11" s="3">
        <f>IF(ThroatInput&lt;&gt;"",IF(UoM=1,PocketAngleTable[[#This Row],[Inches]],PocketAngleTable[[#This Row],[Cm]]),PocketAngleTable[[#This Row],[facing angle range]])</f>
        <v>145.4</v>
      </c>
      <c r="O11" s="10">
        <f>1.25+0.001</f>
        <v>1.2509999999999999</v>
      </c>
      <c r="P11" s="10">
        <v>3.2010000000000001</v>
      </c>
      <c r="Q11" s="12" t="s">
        <v>4</v>
      </c>
      <c r="R11" s="2">
        <v>145.4</v>
      </c>
      <c r="S11" s="9">
        <v>1.0900000000000001</v>
      </c>
      <c r="T11" s="13">
        <v>1.1399999999999999</v>
      </c>
      <c r="U11" s="13">
        <v>1.2</v>
      </c>
    </row>
    <row r="12" spans="1:43" x14ac:dyDescent="0.25">
      <c r="H12" s="10">
        <f>IF(UoM=1,PocketSizeTable[[#This Row],[Inches]],PocketSizeTable[[#This Row],[Cm]])</f>
        <v>4.3760000000000003</v>
      </c>
      <c r="I12" s="10">
        <f>4+(3/8)+0.001</f>
        <v>4.3760000000000003</v>
      </c>
      <c r="J12" s="15">
        <v>11.101000000000001</v>
      </c>
      <c r="K12" s="16" t="s">
        <v>37</v>
      </c>
      <c r="L12" s="17">
        <v>1</v>
      </c>
    </row>
    <row r="13" spans="1:43" x14ac:dyDescent="0.25">
      <c r="H13" s="10">
        <f>IF(UoM=1,PocketSizeTable[[#This Row],[Inches]],PocketSizeTable[[#This Row],[Cm]])</f>
        <v>4.5010000000000003</v>
      </c>
      <c r="I13" s="10">
        <f>4+(1/2)+0.001</f>
        <v>4.5010000000000003</v>
      </c>
      <c r="J13" s="15">
        <v>11.401</v>
      </c>
      <c r="K13" s="16" t="s">
        <v>38</v>
      </c>
      <c r="L13" s="17">
        <v>0.95</v>
      </c>
    </row>
    <row r="14" spans="1:43" x14ac:dyDescent="0.25">
      <c r="B14" s="18" t="s">
        <v>53</v>
      </c>
      <c r="C14" s="19"/>
      <c r="D14" s="19"/>
      <c r="H14" s="10">
        <f>IF(UoM=1,PocketSizeTable[[#This Row],[Inches]],PocketSizeTable[[#This Row],[Cm]])</f>
        <v>4.7510000000000003</v>
      </c>
      <c r="I14" s="10">
        <f>4+(3/4)+0.001</f>
        <v>4.7510000000000003</v>
      </c>
      <c r="J14" s="15">
        <v>12.101000000000001</v>
      </c>
      <c r="K14" s="16" t="s">
        <v>39</v>
      </c>
      <c r="L14" s="17">
        <v>0.91</v>
      </c>
    </row>
    <row r="15" spans="1:43" x14ac:dyDescent="0.25">
      <c r="B15" s="18">
        <v>1</v>
      </c>
      <c r="C15" s="19"/>
      <c r="D15" s="19"/>
      <c r="H15" s="10">
        <f>IF(UoM=1,PocketSizeTable[[#This Row],[Inches]],PocketSizeTable[[#This Row],[Cm]])</f>
        <v>5.0010000000000003</v>
      </c>
      <c r="I15" s="10">
        <f>5+0.001</f>
        <v>5.0010000000000003</v>
      </c>
      <c r="J15" s="15">
        <v>12.701000000000001</v>
      </c>
      <c r="K15" s="16" t="s">
        <v>40</v>
      </c>
      <c r="L15" s="17">
        <v>0.88</v>
      </c>
    </row>
    <row r="16" spans="1:43" x14ac:dyDescent="0.25">
      <c r="H16" s="10">
        <f>IF(UoM=1,PocketSizeTable[[#This Row],[Inches]],PocketSizeTable[[#This Row],[Cm]])</f>
        <v>5.2510000000000003</v>
      </c>
      <c r="I16" s="10">
        <f>5+(1/4)+0.001</f>
        <v>5.2510000000000003</v>
      </c>
      <c r="J16" s="10">
        <v>13.301</v>
      </c>
      <c r="K16" s="2" t="s">
        <v>41</v>
      </c>
      <c r="L16" s="11">
        <v>0.85</v>
      </c>
      <c r="N16" s="2" t="s">
        <v>102</v>
      </c>
    </row>
    <row r="17" spans="2:21" x14ac:dyDescent="0.25">
      <c r="N17" s="5" t="s">
        <v>101</v>
      </c>
      <c r="O17" s="5" t="s">
        <v>50</v>
      </c>
      <c r="P17" s="5" t="s">
        <v>51</v>
      </c>
      <c r="Q17" s="6" t="s">
        <v>2</v>
      </c>
      <c r="R17" s="6" t="s">
        <v>3</v>
      </c>
      <c r="S17" s="7" t="s">
        <v>44</v>
      </c>
      <c r="T17" s="7" t="s">
        <v>45</v>
      </c>
      <c r="U17" s="7" t="s">
        <v>46</v>
      </c>
    </row>
    <row r="18" spans="2:21" x14ac:dyDescent="0.25">
      <c r="B18" s="2" t="s">
        <v>88</v>
      </c>
      <c r="C18" s="2" t="s">
        <v>50</v>
      </c>
      <c r="D18" s="2" t="s">
        <v>51</v>
      </c>
      <c r="E18" s="2" t="s">
        <v>43</v>
      </c>
      <c r="N18" s="3">
        <v>0</v>
      </c>
      <c r="O18" s="10"/>
      <c r="P18" s="10"/>
      <c r="Q18" s="12" t="s">
        <v>5</v>
      </c>
      <c r="R18" s="2" t="s">
        <v>58</v>
      </c>
      <c r="S18" s="9">
        <v>0.94</v>
      </c>
      <c r="T18" s="13">
        <v>0.95</v>
      </c>
      <c r="U18" s="13">
        <v>0.97</v>
      </c>
    </row>
    <row r="19" spans="2:21" x14ac:dyDescent="0.25">
      <c r="B19" s="49" t="s">
        <v>89</v>
      </c>
      <c r="C19" s="2">
        <v>0</v>
      </c>
      <c r="D19" s="2">
        <v>0</v>
      </c>
      <c r="E19" s="56">
        <v>0</v>
      </c>
      <c r="N19" s="3">
        <v>137.1</v>
      </c>
      <c r="O19" s="10"/>
      <c r="P19" s="10"/>
      <c r="Q19" s="12" t="s">
        <v>20</v>
      </c>
      <c r="R19" s="2" t="s">
        <v>11</v>
      </c>
      <c r="S19" s="9">
        <v>0.96</v>
      </c>
      <c r="T19" s="13">
        <v>0.97</v>
      </c>
      <c r="U19" s="13">
        <v>0.98</v>
      </c>
    </row>
    <row r="20" spans="2:21" x14ac:dyDescent="0.25">
      <c r="B20" s="50" t="s">
        <v>110</v>
      </c>
      <c r="C20" s="2">
        <v>42</v>
      </c>
      <c r="D20" s="2">
        <f t="shared" ref="D20:D25" si="2">CONVERT(C20,"in","m")*100</f>
        <v>106.67999999999999</v>
      </c>
      <c r="E20" s="56">
        <v>0.85</v>
      </c>
      <c r="N20" s="3">
        <v>138.69999999999999</v>
      </c>
      <c r="O20" s="10"/>
      <c r="P20" s="10"/>
      <c r="Q20" s="12" t="s">
        <v>21</v>
      </c>
      <c r="R20" s="2" t="s">
        <v>12</v>
      </c>
      <c r="S20" s="9">
        <v>0.98</v>
      </c>
      <c r="T20" s="13">
        <v>0.98</v>
      </c>
      <c r="U20" s="13">
        <v>0.99</v>
      </c>
    </row>
    <row r="21" spans="2:21" x14ac:dyDescent="0.25">
      <c r="B21" s="50" t="s">
        <v>90</v>
      </c>
      <c r="C21" s="2">
        <v>44</v>
      </c>
      <c r="D21" s="2">
        <f t="shared" si="2"/>
        <v>111.75999999999999</v>
      </c>
      <c r="E21" s="56">
        <v>0.9</v>
      </c>
      <c r="N21" s="3">
        <v>139.69999999999999</v>
      </c>
      <c r="O21" s="10"/>
      <c r="P21" s="10"/>
      <c r="Q21" s="12" t="s">
        <v>6</v>
      </c>
      <c r="R21" s="2" t="s">
        <v>13</v>
      </c>
      <c r="S21" s="9">
        <v>1</v>
      </c>
      <c r="T21" s="13">
        <v>1</v>
      </c>
      <c r="U21" s="13">
        <v>1</v>
      </c>
    </row>
    <row r="22" spans="2:21" x14ac:dyDescent="0.25">
      <c r="B22" s="50" t="s">
        <v>91</v>
      </c>
      <c r="C22" s="2">
        <v>46</v>
      </c>
      <c r="D22" s="2">
        <f t="shared" si="2"/>
        <v>116.84</v>
      </c>
      <c r="E22" s="56">
        <v>0.95</v>
      </c>
      <c r="N22" s="3">
        <v>140.80000000000001</v>
      </c>
      <c r="O22" s="10"/>
      <c r="P22" s="10"/>
      <c r="Q22" s="12" t="s">
        <v>7</v>
      </c>
      <c r="R22" s="2" t="s">
        <v>14</v>
      </c>
      <c r="S22" s="9">
        <v>1.01</v>
      </c>
      <c r="T22" s="13">
        <v>1.02</v>
      </c>
      <c r="U22" s="13">
        <v>1.02</v>
      </c>
    </row>
    <row r="23" spans="2:21" x14ac:dyDescent="0.25">
      <c r="B23" s="50" t="s">
        <v>109</v>
      </c>
      <c r="C23" s="2">
        <v>50</v>
      </c>
      <c r="D23" s="2">
        <f t="shared" si="2"/>
        <v>127</v>
      </c>
      <c r="E23" s="56">
        <v>1</v>
      </c>
      <c r="N23" s="3">
        <v>141.80000000000001</v>
      </c>
      <c r="O23" s="10"/>
      <c r="P23" s="10"/>
      <c r="Q23" s="12" t="s">
        <v>8</v>
      </c>
      <c r="R23" s="2" t="s">
        <v>15</v>
      </c>
      <c r="S23" s="9">
        <v>1.03</v>
      </c>
      <c r="T23" s="13">
        <v>1.04</v>
      </c>
      <c r="U23" s="13">
        <v>1.05</v>
      </c>
    </row>
    <row r="24" spans="2:21" x14ac:dyDescent="0.25">
      <c r="B24" s="50" t="s">
        <v>92</v>
      </c>
      <c r="C24" s="2">
        <v>56</v>
      </c>
      <c r="D24" s="2">
        <f t="shared" si="2"/>
        <v>142.24</v>
      </c>
      <c r="E24" s="56">
        <v>1.1000000000000001</v>
      </c>
      <c r="N24" s="3">
        <v>142.69999999999999</v>
      </c>
      <c r="O24" s="10"/>
      <c r="P24" s="10"/>
      <c r="Q24" s="12" t="s">
        <v>9</v>
      </c>
      <c r="R24" s="2" t="s">
        <v>16</v>
      </c>
      <c r="S24" s="9">
        <v>1.05</v>
      </c>
      <c r="T24" s="13">
        <v>1.07</v>
      </c>
      <c r="U24" s="13">
        <v>1.0900000000000001</v>
      </c>
    </row>
    <row r="25" spans="2:21" x14ac:dyDescent="0.25">
      <c r="B25" s="50" t="s">
        <v>93</v>
      </c>
      <c r="C25" s="2">
        <v>70</v>
      </c>
      <c r="D25" s="2">
        <f t="shared" si="2"/>
        <v>177.8</v>
      </c>
      <c r="E25" s="56">
        <v>1.25</v>
      </c>
      <c r="N25" s="3">
        <v>143.6</v>
      </c>
      <c r="O25" s="10"/>
      <c r="P25" s="10"/>
      <c r="Q25" s="12" t="s">
        <v>10</v>
      </c>
      <c r="R25" s="2" t="s">
        <v>17</v>
      </c>
      <c r="S25" s="9">
        <v>1.07</v>
      </c>
      <c r="T25" s="13">
        <v>1.1000000000000001</v>
      </c>
      <c r="U25" s="13">
        <v>1.1399999999999999</v>
      </c>
    </row>
    <row r="26" spans="2:21" x14ac:dyDescent="0.25">
      <c r="N26" s="3">
        <v>145.4</v>
      </c>
      <c r="O26" s="10"/>
      <c r="P26" s="10"/>
      <c r="Q26" s="12" t="s">
        <v>4</v>
      </c>
      <c r="R26" s="2" t="s">
        <v>18</v>
      </c>
      <c r="S26" s="9">
        <v>1.0900000000000001</v>
      </c>
      <c r="T26" s="13">
        <v>1.1399999999999999</v>
      </c>
      <c r="U26" s="13">
        <v>1.2</v>
      </c>
    </row>
  </sheetData>
  <pageMargins left="0.7" right="0.7" top="0.75" bottom="0.75" header="0.3" footer="0.3"/>
  <tableParts count="7">
    <tablePart r:id="rId1"/>
    <tablePart r:id="rId2"/>
    <tablePart r:id="rId3"/>
    <tablePart r:id="rId4"/>
    <tablePart r:id="rId5"/>
    <tablePart r:id="rId6"/>
    <tablePart r:id="rId7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N47"/>
  <sheetViews>
    <sheetView showGridLines="0" tabSelected="1" zoomScaleNormal="100" workbookViewId="0">
      <selection activeCell="D12" sqref="D12"/>
    </sheetView>
  </sheetViews>
  <sheetFormatPr defaultRowHeight="14.25" x14ac:dyDescent="0.2"/>
  <cols>
    <col min="1" max="1" width="26.7109375" style="31" customWidth="1"/>
    <col min="2" max="3" width="11.5703125" style="31" bestFit="1" customWidth="1"/>
    <col min="4" max="4" width="27" style="31" customWidth="1"/>
    <col min="5" max="5" width="12.28515625" style="31" customWidth="1"/>
    <col min="6" max="16384" width="9.140625" style="31"/>
  </cols>
  <sheetData>
    <row r="1" spans="1:13" ht="43.5" customHeight="1" x14ac:dyDescent="0.2">
      <c r="A1" s="52" t="s">
        <v>0</v>
      </c>
      <c r="B1" s="52"/>
      <c r="C1" s="52"/>
      <c r="D1" s="52"/>
      <c r="E1" s="52"/>
      <c r="F1" s="52"/>
      <c r="G1" s="52"/>
      <c r="H1" s="52"/>
      <c r="I1" s="52"/>
      <c r="J1" s="52"/>
      <c r="K1" s="30"/>
      <c r="L1" s="30"/>
      <c r="M1" s="30"/>
    </row>
    <row r="3" spans="1:13" ht="23.25" x14ac:dyDescent="0.35">
      <c r="A3" s="32" t="s">
        <v>71</v>
      </c>
    </row>
    <row r="10" spans="1:13" ht="23.25" x14ac:dyDescent="0.35">
      <c r="A10" s="32" t="s">
        <v>87</v>
      </c>
    </row>
    <row r="11" spans="1:13" ht="18" x14ac:dyDescent="0.25">
      <c r="A11" s="33" t="s">
        <v>99</v>
      </c>
      <c r="B11"/>
      <c r="C11"/>
      <c r="D11" s="35"/>
    </row>
    <row r="12" spans="1:13" ht="18" x14ac:dyDescent="0.25">
      <c r="A12" s="36" t="s">
        <v>89</v>
      </c>
      <c r="B12"/>
      <c r="C12"/>
      <c r="D12" s="35"/>
    </row>
    <row r="13" spans="1:13" ht="15" x14ac:dyDescent="0.25">
      <c r="D13" s="35"/>
    </row>
    <row r="14" spans="1:13" ht="23.25" x14ac:dyDescent="0.35">
      <c r="A14" s="32" t="s">
        <v>72</v>
      </c>
      <c r="D14" s="35"/>
      <c r="G14" s="38" t="s">
        <v>83</v>
      </c>
      <c r="M14" s="53"/>
    </row>
    <row r="15" spans="1:13" ht="18" x14ac:dyDescent="0.25">
      <c r="A15" s="33" t="s">
        <v>81</v>
      </c>
      <c r="B15" s="33" t="s">
        <v>63</v>
      </c>
      <c r="C15" s="34" t="s">
        <v>64</v>
      </c>
      <c r="D15" s="35"/>
    </row>
    <row r="16" spans="1:13" ht="18" x14ac:dyDescent="0.25">
      <c r="A16" s="39" t="s">
        <v>94</v>
      </c>
      <c r="B16" s="40"/>
      <c r="C16" s="37" t="str">
        <f>IF(UoM=1,"Inches","Cm")</f>
        <v>Inches</v>
      </c>
      <c r="D16" s="35"/>
    </row>
    <row r="17" spans="1:14" ht="18" customHeight="1" x14ac:dyDescent="0.25">
      <c r="A17" s="39" t="s">
        <v>95</v>
      </c>
      <c r="B17" s="40"/>
      <c r="C17" s="37" t="str">
        <f>IF(UoM=1,"Inches","Cm")</f>
        <v>Inches</v>
      </c>
      <c r="D17" s="51" t="s">
        <v>108</v>
      </c>
      <c r="E17" s="46"/>
    </row>
    <row r="18" spans="1:14" ht="18" x14ac:dyDescent="0.25">
      <c r="A18" s="39" t="s">
        <v>100</v>
      </c>
      <c r="B18" s="47"/>
      <c r="C18" s="37" t="s">
        <v>101</v>
      </c>
      <c r="D18" s="51"/>
      <c r="E18" s="46"/>
    </row>
    <row r="19" spans="1:14" ht="18" x14ac:dyDescent="0.25">
      <c r="A19" s="39" t="s">
        <v>85</v>
      </c>
      <c r="B19" s="40"/>
      <c r="C19" s="37" t="str">
        <f>IF(UoM=1,"Inches","Cm")</f>
        <v>Inches</v>
      </c>
      <c r="D19" s="35"/>
    </row>
    <row r="20" spans="1:14" ht="15" x14ac:dyDescent="0.25">
      <c r="D20" s="35"/>
    </row>
    <row r="21" spans="1:14" ht="23.25" x14ac:dyDescent="0.35">
      <c r="A21" s="32" t="s">
        <v>82</v>
      </c>
      <c r="D21" s="35"/>
    </row>
    <row r="22" spans="1:14" ht="18" x14ac:dyDescent="0.25">
      <c r="A22" s="33" t="s">
        <v>81</v>
      </c>
      <c r="B22" s="33" t="s">
        <v>43</v>
      </c>
      <c r="C22" s="35"/>
      <c r="D22" s="35"/>
      <c r="N22" s="57"/>
    </row>
    <row r="23" spans="1:14" ht="18" x14ac:dyDescent="0.25">
      <c r="A23" s="39" t="s">
        <v>73</v>
      </c>
      <c r="B23" s="41" t="str">
        <f>IFERROR(IF(VLOOKUP(A12,DropDownTable[],4,FALSE)=0,"",VLOOKUP(A12,DropDownTable[],4,FALSE)),"")</f>
        <v/>
      </c>
      <c r="C23" s="35"/>
      <c r="D23" s="35"/>
    </row>
    <row r="24" spans="1:14" ht="18" x14ac:dyDescent="0.25">
      <c r="A24" s="39" t="s">
        <v>96</v>
      </c>
      <c r="B24" s="54" t="str">
        <f>IF(PSFInput="","",VLOOKUP(B16,PocketSizeTable[],5,TRUE))</f>
        <v/>
      </c>
      <c r="C24" s="35"/>
      <c r="D24" s="35"/>
    </row>
    <row r="25" spans="1:14" ht="18" x14ac:dyDescent="0.25">
      <c r="A25" s="39" t="s">
        <v>97</v>
      </c>
      <c r="B25" s="54" t="str">
        <f>IFERROR(IF(PAFInput="","",
IF(PSF&lt;=0.9,VLOOKUP(PAFInput,PocketAngleTable[],6,TRUE),
IF(AND(PSF&gt;0.9,PSF&lt;1.1),VLOOKUP(PAFInput,PocketAngleTable[],7,TRUE),
VLOOKUP(PAFInput,PocketAngleTable[],8,TRUE)))),"")</f>
        <v/>
      </c>
      <c r="C25" s="35"/>
      <c r="D25" s="35"/>
    </row>
    <row r="26" spans="1:14" ht="18" x14ac:dyDescent="0.25">
      <c r="A26" s="39" t="s">
        <v>98</v>
      </c>
      <c r="B26" s="41" t="str">
        <f>IF(PLFInput="","",IF(OR(PSF&gt;=1.1,PAF&gt;=1.1),VLOOKUP(B19,PocketShelfTable[],5,TRUE),
IF(AND(AND(PSF&gt;0.9,PSF&lt;1.1),PAF&lt;1.1),VLOOKUP(B19,PocketShelfTable[],7,TRUE),
VLOOKUP(B19,PocketShelfTable[],6,TRUE))))</f>
        <v/>
      </c>
      <c r="C26" s="35"/>
      <c r="D26" s="35"/>
    </row>
    <row r="27" spans="1:14" ht="18" x14ac:dyDescent="0.25">
      <c r="A27" s="42" t="s">
        <v>86</v>
      </c>
      <c r="B27" s="43" t="str">
        <f>IF(COUNT(B23:B26)=4,TSF*PSF*PAF*PLF,"")</f>
        <v/>
      </c>
      <c r="C27" s="48" t="str">
        <f>IF(COUNT(B23:B26)=4,CONCATENATE("(",VLOOKUP(TDF,DifficultyTable[],2,TRUE),")"),"")</f>
        <v/>
      </c>
      <c r="D27" s="43"/>
    </row>
    <row r="29" spans="1:14" ht="23.25" x14ac:dyDescent="0.35">
      <c r="A29" s="32"/>
    </row>
    <row r="44" spans="4:4" ht="18" x14ac:dyDescent="0.2">
      <c r="D44" s="44" t="s">
        <v>106</v>
      </c>
    </row>
    <row r="45" spans="4:4" ht="18" x14ac:dyDescent="0.2">
      <c r="D45" s="44" t="s">
        <v>111</v>
      </c>
    </row>
    <row r="47" spans="4:4" x14ac:dyDescent="0.2">
      <c r="D47" s="45" t="s">
        <v>107</v>
      </c>
    </row>
  </sheetData>
  <sheetProtection selectLockedCells="1"/>
  <mergeCells count="2">
    <mergeCell ref="D17:D18"/>
    <mergeCell ref="A1:J1"/>
  </mergeCells>
  <conditionalFormatting sqref="B18">
    <cfRule type="expression" dxfId="8" priority="2" stopIfTrue="1">
      <formula>AND($B$17&lt;&gt;"",$B$18="")</formula>
    </cfRule>
  </conditionalFormatting>
  <conditionalFormatting sqref="B17">
    <cfRule type="expression" dxfId="7" priority="1" stopIfTrue="1">
      <formula>AND($B$18&lt;&gt;"",$B$17="")</formula>
    </cfRule>
  </conditionalFormatting>
  <conditionalFormatting sqref="A12">
    <cfRule type="expression" dxfId="6" priority="4" stopIfTrue="1">
      <formula>OR($A$12="Select Table Size…",$A$12="")</formula>
    </cfRule>
  </conditionalFormatting>
  <conditionalFormatting sqref="B16:B19">
    <cfRule type="expression" dxfId="5" priority="3" stopIfTrue="1">
      <formula>B16=""</formula>
    </cfRule>
  </conditionalFormatting>
  <dataValidations count="2">
    <dataValidation type="custom" allowBlank="1" showInputMessage="1" showErrorMessage="1" errorTitle="Input Not Required" error="Facing Angle is not required if Throat Size entered." sqref="B18">
      <formula1>IF(B17&lt;&gt;"","",B17)</formula1>
    </dataValidation>
    <dataValidation type="custom" allowBlank="1" showInputMessage="1" showErrorMessage="1" errorTitle="Input Not Required" error="Throat Size is not required if Facing Angle is entered." sqref="B17">
      <formula1>IF(B18&lt;&gt;"","",B18)</formula1>
    </dataValidation>
  </dataValidations>
  <pageMargins left="0.7" right="0.7" top="0.75" bottom="0.75" header="0.3" footer="0.3"/>
  <pageSetup scale="69" orientation="portrait" horizontalDpi="0" verticalDpi="0" r:id="rId1"/>
  <cellWatches>
    <cellWatch r="B27"/>
    <cellWatch r="B26"/>
  </cellWatche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Option Button 1">
              <controlPr defaultSize="0" autoFill="0" autoLine="0" autoPict="0">
                <anchor moveWithCells="1">
                  <from>
                    <xdr:col>0</xdr:col>
                    <xdr:colOff>581025</xdr:colOff>
                    <xdr:row>3</xdr:row>
                    <xdr:rowOff>142875</xdr:rowOff>
                  </from>
                  <to>
                    <xdr:col>2</xdr:col>
                    <xdr:colOff>323850</xdr:colOff>
                    <xdr:row>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Option Button 2">
              <controlPr defaultSize="0" autoFill="0" autoLine="0" autoPict="0">
                <anchor moveWithCells="1">
                  <from>
                    <xdr:col>0</xdr:col>
                    <xdr:colOff>581025</xdr:colOff>
                    <xdr:row>6</xdr:row>
                    <xdr:rowOff>0</xdr:rowOff>
                  </from>
                  <to>
                    <xdr:col>2</xdr:col>
                    <xdr:colOff>190500</xdr:colOff>
                    <xdr:row>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4" r:id="rId6" name="Group Box 4">
              <controlPr defaultSize="0" autoFill="0" autoPict="0">
                <anchor moveWithCells="1">
                  <from>
                    <xdr:col>0</xdr:col>
                    <xdr:colOff>285750</xdr:colOff>
                    <xdr:row>3</xdr:row>
                    <xdr:rowOff>85725</xdr:rowOff>
                  </from>
                  <to>
                    <xdr:col>1</xdr:col>
                    <xdr:colOff>485775</xdr:colOff>
                    <xdr:row>8</xdr:row>
                    <xdr:rowOff>38100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Tables!$B$19:$B$25</xm:f>
          </x14:formula1>
          <xm:sqref>A12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12</vt:i4>
      </vt:variant>
    </vt:vector>
  </HeadingPairs>
  <TitlesOfParts>
    <vt:vector size="14" baseType="lpstr">
      <vt:lpstr>Tables</vt:lpstr>
      <vt:lpstr>TDF Calculator</vt:lpstr>
      <vt:lpstr>AngleInput</vt:lpstr>
      <vt:lpstr>PAF</vt:lpstr>
      <vt:lpstr>PAFInput</vt:lpstr>
      <vt:lpstr>PLF</vt:lpstr>
      <vt:lpstr>PLFInput</vt:lpstr>
      <vt:lpstr>PSF</vt:lpstr>
      <vt:lpstr>PSFInput</vt:lpstr>
      <vt:lpstr>TDF</vt:lpstr>
      <vt:lpstr>TDFInput</vt:lpstr>
      <vt:lpstr>ThroatInput</vt:lpstr>
      <vt:lpstr>TSF</vt:lpstr>
      <vt:lpstr>UoM</vt:lpstr>
    </vt:vector>
  </TitlesOfParts>
  <Company>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Adam</cp:lastModifiedBy>
  <cp:lastPrinted>2021-09-05T18:33:00Z</cp:lastPrinted>
  <dcterms:created xsi:type="dcterms:W3CDTF">2014-09-28T18:42:34Z</dcterms:created>
  <dcterms:modified xsi:type="dcterms:W3CDTF">2021-12-06T22:58:38Z</dcterms:modified>
</cp:coreProperties>
</file>